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8" activeTab="0"/>
  </bookViews>
  <sheets>
    <sheet name="γενική κατάταξη" sheetId="1" r:id="rId1"/>
    <sheet name="tae kwon do" sheetId="2" r:id="rId2"/>
    <sheet name="αντισφαίριση" sheetId="3" r:id="rId3"/>
    <sheet name="ειδική αγωγή" sheetId="4" r:id="rId4"/>
    <sheet name="ενόργανη" sheetId="5" r:id="rId5"/>
    <sheet name="κλασικός αθλητισμός" sheetId="6" r:id="rId6"/>
    <sheet name="κλειστού χώρου" sheetId="7" r:id="rId7"/>
    <sheet name="κολύμβηση" sheetId="8" r:id="rId8"/>
    <sheet name="παραδοσιακοί χοροί" sheetId="9" r:id="rId9"/>
    <sheet name="πετοσφαίριση" sheetId="10" r:id="rId10"/>
    <sheet name="ρυθμική" sheetId="11" r:id="rId11"/>
    <sheet name="άνευ ειδικότητας" sheetId="12" r:id="rId12"/>
    <sheet name="άνευ προϋπηρεσίας" sheetId="13" r:id="rId13"/>
    <sheet name="Φύλλο1" sheetId="14" r:id="rId14"/>
  </sheets>
  <definedNames>
    <definedName name="_xlnm.Print_Area" localSheetId="0">'γενική κατάταξη'!$A$1:$AB$28</definedName>
  </definedNames>
  <calcPr fullCalcOnLoad="1"/>
</workbook>
</file>

<file path=xl/sharedStrings.xml><?xml version="1.0" encoding="utf-8"?>
<sst xmlns="http://schemas.openxmlformats.org/spreadsheetml/2006/main" count="850" uniqueCount="118">
  <si>
    <t>ΔΗΜΟΣ ΠΑΥΛΟΥ ΜΕΛΑ</t>
  </si>
  <si>
    <t>ΠΡΟΓΡΑΜΜΑΤΑ ΑΘΛΗΣΗΣ ΓΙΑ ΟΛΟΥΣ 2015-2016           αρ. πρωτ. 63655 /10-12-2015</t>
  </si>
  <si>
    <t>ΜΟΡΙΟΔΟΤΗΣΗ  Π.Φ.Α.</t>
  </si>
  <si>
    <t>Α/Α</t>
  </si>
  <si>
    <t>ΟΝΟΜΑΤΕΠΩΝΥΜΟ</t>
  </si>
  <si>
    <t>Αριθμός Πρωτοκ.</t>
  </si>
  <si>
    <t>ΣΠΟΥΔΕΣ</t>
  </si>
  <si>
    <t>ΣΥΝΟΛΟ</t>
  </si>
  <si>
    <t>ΠΡΟΫΠΗΡΕΣΙΑ ΣΤΑ ΠαγΟ (έως 60μήνες)</t>
  </si>
  <si>
    <t>ΟΙΚΟΓΕΝΕΙΑΚΗ ΚΑΤΑΣΤΑΣΗ</t>
  </si>
  <si>
    <t>ΑΠΑΙΤΟΥΜΕΝΑ ΠΡΟΣΟΝΤΑ</t>
  </si>
  <si>
    <t>ΑΝΕΡΓΙΑ ΝΑΙ/ΌΧΙ</t>
  </si>
  <si>
    <t>ΣΥΝΟΛΟ  ΜΟΝΑΔΩΝ</t>
  </si>
  <si>
    <t>ΠΤΥΧΙΟ</t>
  </si>
  <si>
    <t>ΜΕΤΑΠΤΥΧΙΑΚΟ</t>
  </si>
  <si>
    <t>ΔΙΔΑΚΤΟΡΙΚΟ</t>
  </si>
  <si>
    <t>Α. ΚΑΤΗΓΟΡΙΑ</t>
  </si>
  <si>
    <t>Β. ΚΑΤΗΓΟΡΙΑ</t>
  </si>
  <si>
    <t>ΑΝΗΛΙΚΑ ΤΕΚΝΑ</t>
  </si>
  <si>
    <t>ΜΟΝΟΓΕΝΕΪΚΗ ΟΙΚΟΓΕΝΕΙΑ  ΑΡΙΘΜΟΣ ΤΕΚΝΩΝ Χ 0,5 ΜΟΝΑΔΕΣ</t>
  </si>
  <si>
    <t>ΚΥΡΙΑ ΚΑΤΗΓΟΡΙΑ ΕΙΔΙΚΕΥΣΗΣ     1 ΜΟΝΑΔΑ</t>
  </si>
  <si>
    <t>ΔΕΥΤΕΡΕΥΟΥΣΑ ΚΑΤΗΓΟΡΙΑ ΕΙΔΙΚΕΥΣΗΣ  0,5 ΜΟΝΑΔΕΣ</t>
  </si>
  <si>
    <t>ΕΙΔΙΚΟΤΗΤΑ</t>
  </si>
  <si>
    <t>ΒΑΘΜΟΣ</t>
  </si>
  <si>
    <t>ΒΑΘΜΟΣ Χ 0,3 ΜΟΝΑΔΕΣ</t>
  </si>
  <si>
    <t xml:space="preserve">ΕΤΟΣ ΚΤΗΣΗΣ </t>
  </si>
  <si>
    <t>0,5 ΜΟΝΑΔΕΣ</t>
  </si>
  <si>
    <t>1 ΜΟΝΑΔΑ</t>
  </si>
  <si>
    <t>ΜΗΝΕΣ ΑΠΑΣΧΟΛΗΣΗΣ (ΣΥΝΟΛΟ ΩΡΩΝ 120)</t>
  </si>
  <si>
    <t>ΜΗΝΕΣ ΑΠΑΣΧΟΛΗΣΗΣ     Χ 0,08 ΜΟΝΑΔΕΣ</t>
  </si>
  <si>
    <t>ΜΗΝΕΣ ΑΠΑΣΧΟΛΗΣΗΣ (ΣΥΝΟΛΟ ΩΡΩΝ ΚΑΤΩ ΤΩΝ 120)</t>
  </si>
  <si>
    <t>ΩΡΕΣ ΑΠΑΣΧΟΛΗΣΗΣ       ΑΝΑ ΜΗΝΑ      Χ 0,08/120</t>
  </si>
  <si>
    <t>ΠΟΛΥΤΕΚΝΙΑ  2 ΜΟΝΑΔΕΣ</t>
  </si>
  <si>
    <t>ΜΕΧΡΙ  ΔΥΟ ΤΕΚΝΑ Χ 0,3 ΜΟΝΑΔΕΣ</t>
  </si>
  <si>
    <t>ΤΡΙΤΟ ΤΕΚΝΟ Χ 0,5 ΜΟΝΑΔΕΣ</t>
  </si>
  <si>
    <t>1.</t>
  </si>
  <si>
    <t>ΝΑΙ</t>
  </si>
  <si>
    <t>2.</t>
  </si>
  <si>
    <t>3.</t>
  </si>
  <si>
    <t>ΟΧΙ</t>
  </si>
  <si>
    <t>4.</t>
  </si>
  <si>
    <t>5.</t>
  </si>
  <si>
    <t>6.</t>
  </si>
  <si>
    <t>7.</t>
  </si>
  <si>
    <t>TAEKWON-DO</t>
  </si>
  <si>
    <t>ΜΗΝΕΣ ΑΠΑΣΧΟΛΗΣΗΣ         Χ 0,08 ΜΟΝΑΔΕΣ</t>
  </si>
  <si>
    <t>ΣΤΟΓΙΑΝΝΑΚΗ ΚΑΛΛΙΡΟΗ</t>
  </si>
  <si>
    <t>ΙΑΚΩΒΙΔΟΥ ΠΕΛΑΓΙΑ</t>
  </si>
  <si>
    <t>ΣΙΔΗΡΟΠΟΥΛΟΣ ΑΔΑΜ</t>
  </si>
  <si>
    <t>ΑΝΤΙΣΦΑΙΡΙΣΗ</t>
  </si>
  <si>
    <t>8.</t>
  </si>
  <si>
    <t>9.</t>
  </si>
  <si>
    <t>10.</t>
  </si>
  <si>
    <t>11.</t>
  </si>
  <si>
    <t>12.</t>
  </si>
  <si>
    <t>ΕΙΔΙΚΗ ΑΓΩΓΗ</t>
  </si>
  <si>
    <t>ΘΕΟΧΑΡΗ ΒΙΚΤΩΡΙΑ</t>
  </si>
  <si>
    <t>13.</t>
  </si>
  <si>
    <t>14.</t>
  </si>
  <si>
    <t>15.</t>
  </si>
  <si>
    <t>16.</t>
  </si>
  <si>
    <t>17.</t>
  </si>
  <si>
    <t>18.</t>
  </si>
  <si>
    <t>19.</t>
  </si>
  <si>
    <t>20.</t>
  </si>
  <si>
    <t>ΕΝΟΡΓΑΝΗ ΓΥΜΝΑΣΤΙΚΗ</t>
  </si>
  <si>
    <t>ΜΗΝΕΣ ΑΠΑΣΧΟΛΗΣΗΣ        Χ 0,08 ΜΟΝΑΔΕΣ</t>
  </si>
  <si>
    <t>ΩΡΕΣ ΑΠΑΣΧΟΛΗΣΗΣ       ΑΝΑ ΜΗΝΑ     Χ 0,08/120</t>
  </si>
  <si>
    <t>ΚΛΑΣΙΚΟΣ ΑΘΛΗΤΙΣΜΟΣ</t>
  </si>
  <si>
    <t>ΧΑΤΖΗΤΑΚΗΣ ΤΗΛΕΜΑΧΟΣ</t>
  </si>
  <si>
    <t>ΔΡΑΣΤΗΡΙΟΤΗΤΕΣ ΚΛΕΙΣΤΟΥ ΧΩΡΟΥ</t>
  </si>
  <si>
    <t>ΚΟΛΥΜΒΗΣΗ</t>
  </si>
  <si>
    <t>ΠΑΡΑΔΟΣΙΑΚΟΙ ΧΟΡΟΙ</t>
  </si>
  <si>
    <t>ΠΕΤΟΣΦΑΙΡΙΣΗ</t>
  </si>
  <si>
    <t>ΡΥΘΜΙΚΗ ΓΥΜΝΑΣΤΙΚΗ</t>
  </si>
  <si>
    <t>ΑΝΕΥ ΕΙΔΙΚΟΤΗΤΑΣ</t>
  </si>
  <si>
    <t>ΑΝΕΥ ΠΡΟΫΠΗΡΕΣΙΑΣ</t>
  </si>
  <si>
    <t>41.</t>
  </si>
  <si>
    <t>21.</t>
  </si>
  <si>
    <t>22.</t>
  </si>
  <si>
    <t>ΔΗΜΟΣ ΝΑΟΥΣΑΣ</t>
  </si>
  <si>
    <t xml:space="preserve">ΠΡΟΓΡΑΜΜΑΤΑ ΑΘΛΗΣΗΣ ΓΙΑ ΟΛΟΥΣ 2015-2016           αρ. πρωτ. </t>
  </si>
  <si>
    <t>Ο ΑΝΤΙΔΗΜΑΡΧΟΣ ΑΘΛΗΤΙΣΜΟΥ</t>
  </si>
  <si>
    <t>Ο ΠΡΟΪΣΤΑΜΕΝΟΣ</t>
  </si>
  <si>
    <t>ΔΗΜΟΥ ΝΑΟΥΣΑΣ</t>
  </si>
  <si>
    <t>ΣΤΕΛΛΙΟΣ  ΔΑΓΓΑΣ</t>
  </si>
  <si>
    <t>ΑΥΤΟΤΕΛΟΥΣ ΤΜΗΜΑΤΟΣ</t>
  </si>
  <si>
    <t xml:space="preserve">ΚΟΙΝΩΝΙΚΗΣ ΠΡΟΣΤΑΣΙΑΣ </t>
  </si>
  <si>
    <t>ΠΑΙΔΕΙΑΣ &amp; ΠΟΛΙΤΙΣΜΟΥ</t>
  </si>
  <si>
    <t>ΧΑΡΙΖΟΠΟΥΛΟΣ  ΑΛΕΞΑΝΔΡΟΣ</t>
  </si>
  <si>
    <t>Επιτυχών</t>
  </si>
  <si>
    <t>Ειδικότητα</t>
  </si>
  <si>
    <t>Αεροβική Γυμναστική</t>
  </si>
  <si>
    <t>Κωδικός</t>
  </si>
  <si>
    <t>Κολύμβηση</t>
  </si>
  <si>
    <t>ΠΡΟΓΡΑΜΜΑΤΑ ΑΘΛΗΣΗΣ ΓΙΑ ΟΛΟΥΣ 2016-2017           αρ. πρωτ. 26864 /20-10-2016</t>
  </si>
  <si>
    <t>ΒΑΘΜΟΣ Χ 0,1 ΜΟΝΑΔΕΣ</t>
  </si>
  <si>
    <t>ΠΡΟΫΠΗΡΕΣΙΑ ΣΤΑ ΠαγΟ (έως 50μήνες)</t>
  </si>
  <si>
    <t>ΜΗΝΕΣ ΑΠΑΣΧΟΛΗΣΗΣ (ΣΥΝΟΛΟ ΩΡΩΝ ΕΩΣ 120)</t>
  </si>
  <si>
    <t>ΜΗΝΕΣ ΑΠΑΣΧΟΛΗΣΗΣ ΣΕ ΠΑγΟ Δήμου Νάουσας</t>
  </si>
  <si>
    <t>ΠΡΙΜΟΔΟΤΗΣΗ                      ΑΝΑ ΜΗΝΑ                                    ( έως 20 μήνες)    Χ 0,05</t>
  </si>
  <si>
    <t>ΠΟΛΥΤΕΚΝΙΑ  2 ΜΟΝΑΔΕΣ/TEKNO ΠΟΛΥΤΕΚΝΗΣ 0,5</t>
  </si>
  <si>
    <t>ΜΟΝΟΓΕΝΕΪΚΗ ΟΙΚΟΓΕΝΕΙΑ  ΑΡΙΘΜΟΣ ΤΕΚΝΩΝ Χ 0,3 ΜΟΝΑΔΕΣ</t>
  </si>
  <si>
    <t xml:space="preserve"> ΛΟΙΠΑ ΑΠΑΙΤΟΥΜΕΝΑ ΠΡΟΣΟΝΤΑ </t>
  </si>
  <si>
    <t>ΠΡΟΣΩΡΙΝΟΣ ΠΙΝΑΚΑΣ ΚΑΤΑΤΑΞΗΣ   Π.Α.γ.Ο.</t>
  </si>
  <si>
    <t>ΜΥΛΩΝΑ ΚΑΛΛΙΟΠΗ</t>
  </si>
  <si>
    <t>ΜΥΛΩΝΑΣ ΖΗΝΩΝ</t>
  </si>
  <si>
    <t>ΠΑΠΟΥΤΣΗΣ ΦΩΤΙΟΣ</t>
  </si>
  <si>
    <t>ΠΕΤΚΟΥ ΕΥΤΕΡΠΗ</t>
  </si>
  <si>
    <t>ΣΟΥΜΕΛΙΔΟΥ ΣΩΣΑΝΝΑ</t>
  </si>
  <si>
    <t>ΤΟΣΙΟΥ ΕΥΔΟΞΙΑ</t>
  </si>
  <si>
    <t>ΚΑΛΑΘΟΣΦΑΙΡΙΣΗ / ΠΤΥΧΙΟ ΝΑΥΑΓΟΣΩΣΤΗ</t>
  </si>
  <si>
    <t>ΥΠΑΙΘΡΙΕΣ ΔΡΑΣΤΗΡΙΟΤΗΤΕΣ</t>
  </si>
  <si>
    <t>ΤΑΕ-ΚΒΟ-ΝΤΟ</t>
  </si>
  <si>
    <t>ΌΧΙ</t>
  </si>
  <si>
    <t>ΕΛΛΗΝΙΚΟΙ ΧΟΡΟΙ / ΠΡΟΣΑΡΜΟΣΜΕΝΗ Φ.Α.</t>
  </si>
  <si>
    <t xml:space="preserve">ΧΕΙΜΕΡΙΝΑ ΑΘΛΗΜΑΤΑ / ΑΝΤΙΣΦΑΙΡΙΣΗ /             ΠΤΥΧΙΟ ΝΑΥΑΓΟΣΩΣΤΗ  </t>
  </si>
  <si>
    <t>Νάουσα  8 - 11 - 2016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</si>
</sst>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</numFmts>
  <fonts count="34">
    <font>
      <sz val="10"/>
      <name val="Arial"/>
      <family val="2"/>
    </font>
    <font>
      <sz val="10"/>
      <color indexed="16"/>
      <name val="Arial"/>
      <family val="2"/>
    </font>
    <font>
      <b/>
      <sz val="10"/>
      <name val="Arial Black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9"/>
      <name val="Arial Black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color indexed="16"/>
      <name val="Tahoma"/>
      <family val="2"/>
    </font>
    <font>
      <b/>
      <sz val="8"/>
      <color indexed="9"/>
      <name val="Tahoma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3" borderId="1" applyNumberFormat="0" applyAlignment="0" applyProtection="0"/>
    <xf numFmtId="0" fontId="20" fillId="11" borderId="2" applyNumberFormat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21" fillId="2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" borderId="0" applyNumberFormat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shrinkToFit="1"/>
    </xf>
    <xf numFmtId="0" fontId="4" fillId="0" borderId="0" xfId="33" applyNumberFormat="1" applyFont="1" applyBorder="1" applyAlignment="1">
      <alignment horizontal="center"/>
      <protection/>
    </xf>
    <xf numFmtId="0" fontId="4" fillId="0" borderId="0" xfId="33" applyFont="1" applyBorder="1" applyAlignment="1">
      <alignment horizontal="center"/>
      <protection/>
    </xf>
    <xf numFmtId="0" fontId="4" fillId="0" borderId="10" xfId="33" applyFont="1" applyBorder="1" applyAlignment="1">
      <alignment shrinkToFit="1"/>
      <protection/>
    </xf>
    <xf numFmtId="0" fontId="0" fillId="0" borderId="0" xfId="33" applyFont="1" applyAlignment="1">
      <alignment horizontal="center"/>
      <protection/>
    </xf>
    <xf numFmtId="0" fontId="0" fillId="0" borderId="0" xfId="33" applyFont="1">
      <alignment/>
      <protection/>
    </xf>
    <xf numFmtId="0" fontId="1" fillId="0" borderId="0" xfId="33" applyFont="1">
      <alignment/>
      <protection/>
    </xf>
    <xf numFmtId="0" fontId="1" fillId="0" borderId="0" xfId="33" applyFont="1" applyFill="1">
      <alignment/>
      <protection/>
    </xf>
    <xf numFmtId="0" fontId="1" fillId="0" borderId="0" xfId="33" applyFont="1" applyAlignment="1">
      <alignment horizontal="center"/>
      <protection/>
    </xf>
    <xf numFmtId="0" fontId="5" fillId="0" borderId="0" xfId="33" applyFont="1" applyBorder="1" applyAlignment="1">
      <alignment horizontal="center"/>
      <protection/>
    </xf>
    <xf numFmtId="0" fontId="4" fillId="0" borderId="0" xfId="33" applyFont="1" applyAlignment="1">
      <alignment shrinkToFit="1"/>
      <protection/>
    </xf>
    <xf numFmtId="0" fontId="6" fillId="18" borderId="11" xfId="33" applyFont="1" applyFill="1" applyBorder="1" applyAlignment="1">
      <alignment horizontal="center" vertical="center" shrinkToFit="1"/>
      <protection/>
    </xf>
    <xf numFmtId="0" fontId="7" fillId="19" borderId="12" xfId="33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6" fillId="18" borderId="13" xfId="33" applyFont="1" applyFill="1" applyBorder="1" applyAlignment="1">
      <alignment horizontal="center" vertical="center" shrinkToFit="1"/>
      <protection/>
    </xf>
    <xf numFmtId="0" fontId="7" fillId="20" borderId="12" xfId="33" applyFont="1" applyFill="1" applyBorder="1" applyAlignment="1">
      <alignment horizontal="center" wrapText="1"/>
      <protection/>
    </xf>
    <xf numFmtId="0" fontId="6" fillId="18" borderId="14" xfId="33" applyFont="1" applyFill="1" applyBorder="1" applyAlignment="1">
      <alignment horizontal="center" vertical="center" shrinkToFit="1"/>
      <protection/>
    </xf>
    <xf numFmtId="0" fontId="0" fillId="0" borderId="12" xfId="33" applyFont="1" applyBorder="1" applyAlignment="1">
      <alignment horizontal="center"/>
      <protection/>
    </xf>
    <xf numFmtId="0" fontId="0" fillId="0" borderId="12" xfId="33" applyFont="1" applyBorder="1" applyAlignment="1">
      <alignment shrinkToFit="1"/>
      <protection/>
    </xf>
    <xf numFmtId="0" fontId="0" fillId="0" borderId="12" xfId="33" applyFont="1" applyBorder="1" applyAlignment="1">
      <alignment horizontal="center" wrapText="1"/>
      <protection/>
    </xf>
    <xf numFmtId="2" fontId="10" fillId="0" borderId="12" xfId="33" applyNumberFormat="1" applyFont="1" applyBorder="1" applyAlignment="1">
      <alignment horizontal="center"/>
      <protection/>
    </xf>
    <xf numFmtId="164" fontId="10" fillId="0" borderId="12" xfId="33" applyNumberFormat="1" applyFont="1" applyBorder="1" applyAlignment="1">
      <alignment horizontal="center"/>
      <protection/>
    </xf>
    <xf numFmtId="0" fontId="10" fillId="0" borderId="12" xfId="33" applyFont="1" applyBorder="1" applyAlignment="1">
      <alignment horizontal="center"/>
      <protection/>
    </xf>
    <xf numFmtId="0" fontId="11" fillId="0" borderId="12" xfId="33" applyFont="1" applyBorder="1" applyAlignment="1">
      <alignment horizontal="center"/>
      <protection/>
    </xf>
    <xf numFmtId="0" fontId="12" fillId="0" borderId="12" xfId="33" applyFont="1" applyBorder="1" applyAlignment="1">
      <alignment horizontal="center"/>
      <protection/>
    </xf>
    <xf numFmtId="164" fontId="13" fillId="20" borderId="12" xfId="33" applyNumberFormat="1" applyFont="1" applyFill="1" applyBorder="1" applyAlignment="1">
      <alignment horizontal="center"/>
      <protection/>
    </xf>
    <xf numFmtId="0" fontId="14" fillId="0" borderId="12" xfId="33" applyFont="1" applyBorder="1" applyAlignment="1">
      <alignment horizontal="center"/>
      <protection/>
    </xf>
    <xf numFmtId="0" fontId="14" fillId="0" borderId="12" xfId="33" applyFont="1" applyFill="1" applyBorder="1" applyAlignment="1">
      <alignment horizontal="center"/>
      <protection/>
    </xf>
    <xf numFmtId="164" fontId="14" fillId="0" borderId="12" xfId="33" applyNumberFormat="1" applyFont="1" applyFill="1" applyBorder="1" applyAlignment="1">
      <alignment horizontal="center"/>
      <protection/>
    </xf>
    <xf numFmtId="164" fontId="14" fillId="21" borderId="12" xfId="33" applyNumberFormat="1" applyFont="1" applyFill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0" fontId="0" fillId="19" borderId="12" xfId="0" applyFont="1" applyFill="1" applyBorder="1" applyAlignment="1">
      <alignment horizontal="center"/>
    </xf>
    <xf numFmtId="0" fontId="13" fillId="22" borderId="12" xfId="33" applyFont="1" applyFill="1" applyBorder="1" applyAlignment="1">
      <alignment horizontal="center"/>
      <protection/>
    </xf>
    <xf numFmtId="0" fontId="13" fillId="0" borderId="12" xfId="33" applyFont="1" applyBorder="1" applyAlignment="1">
      <alignment horizontal="center"/>
      <protection/>
    </xf>
    <xf numFmtId="164" fontId="5" fillId="23" borderId="12" xfId="33" applyNumberFormat="1" applyFont="1" applyFill="1" applyBorder="1" applyAlignment="1">
      <alignment horizontal="center"/>
      <protection/>
    </xf>
    <xf numFmtId="0" fontId="0" fillId="0" borderId="12" xfId="33" applyFont="1" applyFill="1" applyBorder="1" applyAlignment="1">
      <alignment shrinkToFit="1"/>
      <protection/>
    </xf>
    <xf numFmtId="0" fontId="0" fillId="0" borderId="12" xfId="33" applyFont="1" applyFill="1" applyBorder="1" applyAlignment="1">
      <alignment horizontal="center" wrapText="1"/>
      <protection/>
    </xf>
    <xf numFmtId="0" fontId="10" fillId="0" borderId="12" xfId="33" applyFont="1" applyFill="1" applyBorder="1" applyAlignment="1">
      <alignment horizontal="center"/>
      <protection/>
    </xf>
    <xf numFmtId="0" fontId="11" fillId="0" borderId="12" xfId="33" applyFont="1" applyFill="1" applyBorder="1" applyAlignment="1">
      <alignment horizontal="center"/>
      <protection/>
    </xf>
    <xf numFmtId="0" fontId="12" fillId="0" borderId="12" xfId="33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13" fillId="0" borderId="12" xfId="33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1" fontId="10" fillId="0" borderId="12" xfId="33" applyNumberFormat="1" applyFont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13" fillId="20" borderId="12" xfId="33" applyNumberFormat="1" applyFont="1" applyFill="1" applyBorder="1" applyAlignment="1">
      <alignment horizontal="center"/>
      <protection/>
    </xf>
    <xf numFmtId="2" fontId="14" fillId="21" borderId="12" xfId="33" applyNumberFormat="1" applyFont="1" applyFill="1" applyBorder="1" applyAlignment="1">
      <alignment horizontal="center"/>
      <protection/>
    </xf>
    <xf numFmtId="2" fontId="0" fillId="19" borderId="12" xfId="0" applyNumberFormat="1" applyFont="1" applyFill="1" applyBorder="1" applyAlignment="1">
      <alignment horizontal="center"/>
    </xf>
    <xf numFmtId="2" fontId="5" fillId="23" borderId="12" xfId="33" applyNumberFormat="1" applyFont="1" applyFill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0" borderId="12" xfId="33" applyFont="1" applyFill="1" applyBorder="1" applyAlignment="1">
      <alignment horizontal="center" vertical="center" wrapText="1"/>
      <protection/>
    </xf>
    <xf numFmtId="0" fontId="8" fillId="21" borderId="11" xfId="33" applyFont="1" applyFill="1" applyBorder="1" applyAlignment="1">
      <alignment horizontal="center" vertical="center" wrapText="1"/>
      <protection/>
    </xf>
    <xf numFmtId="0" fontId="8" fillId="21" borderId="13" xfId="33" applyFont="1" applyFill="1" applyBorder="1" applyAlignment="1">
      <alignment horizontal="center" vertical="center" wrapText="1"/>
      <protection/>
    </xf>
    <xf numFmtId="0" fontId="8" fillId="21" borderId="14" xfId="33" applyFont="1" applyFill="1" applyBorder="1" applyAlignment="1">
      <alignment horizontal="center" vertical="center" wrapText="1"/>
      <protection/>
    </xf>
    <xf numFmtId="2" fontId="14" fillId="0" borderId="15" xfId="33" applyNumberFormat="1" applyFont="1" applyFill="1" applyBorder="1" applyAlignment="1">
      <alignment horizontal="center"/>
      <protection/>
    </xf>
    <xf numFmtId="2" fontId="14" fillId="0" borderId="16" xfId="33" applyNumberFormat="1" applyFont="1" applyFill="1" applyBorder="1" applyAlignment="1">
      <alignment horizontal="center"/>
      <protection/>
    </xf>
    <xf numFmtId="0" fontId="8" fillId="19" borderId="11" xfId="33" applyFont="1" applyFill="1" applyBorder="1" applyAlignment="1">
      <alignment horizontal="center" vertical="center" wrapText="1"/>
      <protection/>
    </xf>
    <xf numFmtId="0" fontId="8" fillId="19" borderId="13" xfId="33" applyFont="1" applyFill="1" applyBorder="1" applyAlignment="1">
      <alignment horizontal="center" vertical="center" wrapText="1"/>
      <protection/>
    </xf>
    <xf numFmtId="0" fontId="8" fillId="19" borderId="14" xfId="33" applyFont="1" applyFill="1" applyBorder="1" applyAlignment="1">
      <alignment horizontal="center" vertical="center" wrapText="1"/>
      <protection/>
    </xf>
    <xf numFmtId="0" fontId="7" fillId="24" borderId="12" xfId="33" applyFont="1" applyFill="1" applyBorder="1" applyAlignment="1">
      <alignment horizontal="center" vertical="center" wrapText="1"/>
      <protection/>
    </xf>
    <xf numFmtId="0" fontId="3" fillId="25" borderId="10" xfId="33" applyFont="1" applyFill="1" applyBorder="1" applyAlignment="1">
      <alignment horizontal="center"/>
      <protection/>
    </xf>
    <xf numFmtId="0" fontId="3" fillId="0" borderId="10" xfId="33" applyFont="1" applyFill="1" applyBorder="1" applyAlignment="1">
      <alignment horizontal="center"/>
      <protection/>
    </xf>
    <xf numFmtId="0" fontId="6" fillId="18" borderId="12" xfId="33" applyFont="1" applyFill="1" applyBorder="1" applyAlignment="1">
      <alignment horizontal="center" vertical="center"/>
      <protection/>
    </xf>
    <xf numFmtId="0" fontId="6" fillId="18" borderId="12" xfId="33" applyFont="1" applyFill="1" applyBorder="1" applyAlignment="1">
      <alignment horizontal="center" vertical="center" shrinkToFit="1"/>
      <protection/>
    </xf>
    <xf numFmtId="0" fontId="6" fillId="18" borderId="12" xfId="33" applyFont="1" applyFill="1" applyBorder="1" applyAlignment="1">
      <alignment horizontal="center" vertical="center" wrapText="1"/>
      <protection/>
    </xf>
    <xf numFmtId="0" fontId="7" fillId="19" borderId="12" xfId="33" applyFont="1" applyFill="1" applyBorder="1" applyAlignment="1">
      <alignment horizontal="center" vertical="center" wrapText="1"/>
      <protection/>
    </xf>
    <xf numFmtId="0" fontId="7" fillId="24" borderId="11" xfId="33" applyFont="1" applyFill="1" applyBorder="1" applyAlignment="1">
      <alignment horizontal="center" vertical="center" wrapText="1"/>
      <protection/>
    </xf>
    <xf numFmtId="0" fontId="7" fillId="24" borderId="13" xfId="33" applyFont="1" applyFill="1" applyBorder="1" applyAlignment="1">
      <alignment horizontal="center" vertical="center" wrapText="1"/>
      <protection/>
    </xf>
    <xf numFmtId="0" fontId="7" fillId="24" borderId="14" xfId="33" applyFont="1" applyFill="1" applyBorder="1" applyAlignment="1">
      <alignment horizontal="center" vertical="center" wrapText="1"/>
      <protection/>
    </xf>
    <xf numFmtId="0" fontId="9" fillId="23" borderId="11" xfId="33" applyFont="1" applyFill="1" applyBorder="1" applyAlignment="1">
      <alignment horizontal="center" vertical="center" wrapText="1"/>
      <protection/>
    </xf>
    <xf numFmtId="0" fontId="9" fillId="23" borderId="13" xfId="33" applyFont="1" applyFill="1" applyBorder="1" applyAlignment="1">
      <alignment horizontal="center" vertical="center" wrapText="1"/>
      <protection/>
    </xf>
    <xf numFmtId="0" fontId="9" fillId="23" borderId="14" xfId="33" applyFont="1" applyFill="1" applyBorder="1" applyAlignment="1">
      <alignment horizontal="center" vertical="center" wrapText="1"/>
      <protection/>
    </xf>
    <xf numFmtId="0" fontId="7" fillId="24" borderId="11" xfId="33" applyFont="1" applyFill="1" applyBorder="1" applyAlignment="1">
      <alignment horizontal="center" vertical="center" wrapText="1" readingOrder="1"/>
      <protection/>
    </xf>
    <xf numFmtId="0" fontId="7" fillId="24" borderId="13" xfId="33" applyFont="1" applyFill="1" applyBorder="1" applyAlignment="1">
      <alignment horizontal="center" vertical="center" wrapText="1" readingOrder="1"/>
      <protection/>
    </xf>
    <xf numFmtId="0" fontId="7" fillId="24" borderId="14" xfId="33" applyFont="1" applyFill="1" applyBorder="1" applyAlignment="1">
      <alignment horizontal="center" vertical="center" wrapText="1" readingOrder="1"/>
      <protection/>
    </xf>
    <xf numFmtId="0" fontId="7" fillId="21" borderId="15" xfId="33" applyFont="1" applyFill="1" applyBorder="1" applyAlignment="1">
      <alignment horizontal="center" vertical="center" wrapText="1"/>
      <protection/>
    </xf>
    <xf numFmtId="0" fontId="7" fillId="21" borderId="17" xfId="33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7" fillId="21" borderId="18" xfId="33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7" fillId="21" borderId="20" xfId="33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7" fillId="21" borderId="22" xfId="33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7" fillId="21" borderId="12" xfId="33" applyFont="1" applyFill="1" applyBorder="1" applyAlignment="1">
      <alignment horizontal="center" vertical="center" wrapText="1"/>
      <protection/>
    </xf>
    <xf numFmtId="0" fontId="4" fillId="0" borderId="0" xfId="33" applyFont="1" applyBorder="1" applyAlignment="1">
      <alignment shrinkToFit="1"/>
      <protection/>
    </xf>
    <xf numFmtId="0" fontId="0" fillId="0" borderId="0" xfId="0" applyBorder="1" applyAlignment="1">
      <alignment/>
    </xf>
    <xf numFmtId="0" fontId="7" fillId="24" borderId="12" xfId="33" applyFont="1" applyFill="1" applyBorder="1" applyAlignment="1">
      <alignment horizontal="center" vertical="center" wrapText="1" readingOrder="1"/>
      <protection/>
    </xf>
    <xf numFmtId="0" fontId="9" fillId="23" borderId="12" xfId="33" applyFont="1" applyFill="1" applyBorder="1" applyAlignment="1">
      <alignment horizontal="center" vertical="center" wrapText="1"/>
      <protection/>
    </xf>
    <xf numFmtId="0" fontId="8" fillId="19" borderId="12" xfId="33" applyFont="1" applyFill="1" applyBorder="1" applyAlignment="1">
      <alignment horizontal="center" vertical="center" wrapText="1"/>
      <protection/>
    </xf>
    <xf numFmtId="0" fontId="8" fillId="21" borderId="12" xfId="33" applyFont="1" applyFill="1" applyBorder="1" applyAlignment="1">
      <alignment horizontal="center" vertical="center" wrapText="1"/>
      <protection/>
    </xf>
    <xf numFmtId="0" fontId="7" fillId="0" borderId="12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_1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tabSelected="1" zoomScalePageLayoutView="0" workbookViewId="0" topLeftCell="A1">
      <selection activeCell="AF17" sqref="AF17"/>
    </sheetView>
  </sheetViews>
  <sheetFormatPr defaultColWidth="9.140625" defaultRowHeight="12.75" customHeight="1"/>
  <cols>
    <col min="1" max="1" width="5.28125" style="1" customWidth="1"/>
    <col min="2" max="2" width="27.140625" style="2" customWidth="1"/>
    <col min="3" max="3" width="23.57421875" style="2" customWidth="1"/>
    <col min="4" max="4" width="9.421875" style="1" customWidth="1"/>
    <col min="5" max="5" width="7.7109375" style="3" customWidth="1"/>
    <col min="6" max="6" width="9.57421875" style="3" customWidth="1"/>
    <col min="7" max="7" width="7.140625" style="3" customWidth="1"/>
    <col min="8" max="8" width="13.57421875" style="3" customWidth="1"/>
    <col min="9" max="9" width="11.8515625" style="3" customWidth="1"/>
    <col min="10" max="10" width="9.7109375" style="3" customWidth="1"/>
    <col min="11" max="11" width="12.57421875" style="4" customWidth="1"/>
    <col min="12" max="12" width="12.8515625" style="4" customWidth="1"/>
    <col min="13" max="13" width="12.00390625" style="4" customWidth="1"/>
    <col min="14" max="14" width="12.8515625" style="4" customWidth="1"/>
    <col min="15" max="15" width="8.7109375" style="5" customWidth="1"/>
    <col min="16" max="16" width="10.8515625" style="3" customWidth="1"/>
    <col min="17" max="17" width="10.00390625" style="1" customWidth="1"/>
    <col min="18" max="18" width="9.57421875" style="3" customWidth="1"/>
    <col min="19" max="19" width="12.57421875" style="1" customWidth="1"/>
    <col min="20" max="20" width="8.7109375" style="6" customWidth="1"/>
    <col min="21" max="21" width="11.28125" style="3" customWidth="1"/>
    <col min="22" max="22" width="13.00390625" style="3" customWidth="1"/>
    <col min="23" max="23" width="10.00390625" style="3" customWidth="1"/>
    <col min="24" max="24" width="8.421875" style="3" customWidth="1"/>
    <col min="25" max="25" width="13.57421875" style="7" customWidth="1"/>
    <col min="26" max="26" width="9.140625" style="3" customWidth="1"/>
    <col min="27" max="27" width="10.57421875" style="3" customWidth="1"/>
    <col min="28" max="28" width="19.00390625" style="3" customWidth="1"/>
    <col min="29" max="16384" width="9.140625" style="3" customWidth="1"/>
  </cols>
  <sheetData>
    <row r="1" spans="1:25" ht="12.75" customHeight="1">
      <c r="A1" s="75" t="s">
        <v>80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2" ht="12.75" customHeight="1">
      <c r="A2" s="75" t="s">
        <v>95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15.75" customHeight="1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6" ht="21.75" customHeight="1">
      <c r="A4"/>
      <c r="B4" s="8"/>
      <c r="C4" s="8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" ht="21.75" customHeight="1">
      <c r="A5" s="10"/>
      <c r="B5" s="100" t="s">
        <v>104</v>
      </c>
      <c r="C5" s="101"/>
      <c r="D5" s="101"/>
      <c r="E5" s="13"/>
      <c r="F5" s="13"/>
      <c r="G5" s="13"/>
      <c r="H5" s="13"/>
      <c r="I5" s="13"/>
      <c r="J5" s="13"/>
      <c r="K5" s="14"/>
      <c r="L5" s="14"/>
      <c r="M5" s="14"/>
      <c r="N5" s="14"/>
      <c r="O5" s="15"/>
      <c r="P5" s="13"/>
      <c r="Q5" s="12"/>
      <c r="R5" s="13"/>
      <c r="S5" s="12"/>
      <c r="T5" s="16"/>
      <c r="U5" s="10"/>
      <c r="V5" s="10"/>
      <c r="W5" s="10"/>
      <c r="X5" s="10"/>
      <c r="Y5" s="17"/>
    </row>
    <row r="6" spans="1:25" ht="12.75" customHeight="1">
      <c r="A6" s="10"/>
      <c r="B6" s="18"/>
      <c r="C6" s="18"/>
      <c r="D6" s="12"/>
      <c r="E6" s="13"/>
      <c r="F6" s="13"/>
      <c r="G6" s="13"/>
      <c r="H6" s="13"/>
      <c r="I6" s="13"/>
      <c r="J6" s="13"/>
      <c r="K6" s="14"/>
      <c r="L6" s="14"/>
      <c r="M6" s="14"/>
      <c r="N6" s="14"/>
      <c r="O6" s="15"/>
      <c r="P6" s="13"/>
      <c r="Q6" s="12"/>
      <c r="R6" s="13"/>
      <c r="S6" s="12"/>
      <c r="T6" s="16"/>
      <c r="U6" s="10"/>
      <c r="V6" s="10"/>
      <c r="W6" s="10"/>
      <c r="X6" s="10"/>
      <c r="Y6" s="17"/>
    </row>
    <row r="7" spans="1:26" s="21" customFormat="1" ht="19.5" customHeight="1">
      <c r="A7" s="77" t="s">
        <v>3</v>
      </c>
      <c r="B7" s="78" t="s">
        <v>4</v>
      </c>
      <c r="C7" s="19"/>
      <c r="D7" s="79" t="s">
        <v>5</v>
      </c>
      <c r="E7" s="65" t="s">
        <v>6</v>
      </c>
      <c r="F7" s="65"/>
      <c r="G7" s="65"/>
      <c r="H7" s="65"/>
      <c r="I7" s="65"/>
      <c r="J7" s="65" t="s">
        <v>7</v>
      </c>
      <c r="K7" s="90" t="s">
        <v>97</v>
      </c>
      <c r="L7" s="91"/>
      <c r="M7" s="91"/>
      <c r="N7" s="91"/>
      <c r="O7" s="92"/>
      <c r="P7" s="66" t="s">
        <v>7</v>
      </c>
      <c r="Q7" s="80" t="s">
        <v>9</v>
      </c>
      <c r="R7" s="80"/>
      <c r="S7" s="80"/>
      <c r="T7" s="80"/>
      <c r="U7" s="71" t="s">
        <v>7</v>
      </c>
      <c r="V7" s="74" t="s">
        <v>103</v>
      </c>
      <c r="W7" s="74"/>
      <c r="X7" s="87" t="s">
        <v>7</v>
      </c>
      <c r="Y7" s="81" t="s">
        <v>11</v>
      </c>
      <c r="Z7" s="84" t="s">
        <v>12</v>
      </c>
    </row>
    <row r="8" spans="1:26" s="21" customFormat="1" ht="27" customHeight="1">
      <c r="A8" s="77"/>
      <c r="B8" s="78"/>
      <c r="C8" s="22"/>
      <c r="D8" s="79"/>
      <c r="E8" s="65" t="s">
        <v>13</v>
      </c>
      <c r="F8" s="65"/>
      <c r="G8" s="65"/>
      <c r="H8" s="23" t="s">
        <v>14</v>
      </c>
      <c r="I8" s="23" t="s">
        <v>15</v>
      </c>
      <c r="J8" s="65"/>
      <c r="K8" s="99" t="s">
        <v>16</v>
      </c>
      <c r="L8" s="99"/>
      <c r="M8" s="90" t="s">
        <v>17</v>
      </c>
      <c r="N8" s="91"/>
      <c r="O8" s="92"/>
      <c r="P8" s="67"/>
      <c r="Q8" s="20"/>
      <c r="R8" s="80" t="s">
        <v>18</v>
      </c>
      <c r="S8" s="80"/>
      <c r="T8" s="80" t="s">
        <v>102</v>
      </c>
      <c r="U8" s="72"/>
      <c r="V8" s="74" t="s">
        <v>20</v>
      </c>
      <c r="W8" s="74" t="s">
        <v>21</v>
      </c>
      <c r="X8" s="88"/>
      <c r="Y8" s="82"/>
      <c r="Z8" s="85"/>
    </row>
    <row r="9" spans="1:26" s="21" customFormat="1" ht="15.75" customHeight="1">
      <c r="A9" s="77"/>
      <c r="B9" s="78"/>
      <c r="C9" s="22" t="s">
        <v>22</v>
      </c>
      <c r="D9" s="79"/>
      <c r="E9" s="65" t="s">
        <v>23</v>
      </c>
      <c r="F9" s="65" t="s">
        <v>96</v>
      </c>
      <c r="G9" s="65" t="s">
        <v>25</v>
      </c>
      <c r="H9" s="65" t="s">
        <v>26</v>
      </c>
      <c r="I9" s="65" t="s">
        <v>27</v>
      </c>
      <c r="J9" s="65"/>
      <c r="K9" s="99" t="s">
        <v>98</v>
      </c>
      <c r="L9" s="99" t="s">
        <v>29</v>
      </c>
      <c r="M9" s="99" t="s">
        <v>99</v>
      </c>
      <c r="N9" s="93" t="s">
        <v>100</v>
      </c>
      <c r="O9" s="94"/>
      <c r="P9" s="67"/>
      <c r="Q9" s="80" t="s">
        <v>101</v>
      </c>
      <c r="R9" s="80" t="s">
        <v>33</v>
      </c>
      <c r="S9" s="80" t="s">
        <v>34</v>
      </c>
      <c r="T9" s="80"/>
      <c r="U9" s="72"/>
      <c r="V9" s="74"/>
      <c r="W9" s="74"/>
      <c r="X9" s="88"/>
      <c r="Y9" s="82"/>
      <c r="Z9" s="85"/>
    </row>
    <row r="10" spans="1:26" s="21" customFormat="1" ht="41.25" customHeight="1">
      <c r="A10" s="77"/>
      <c r="B10" s="78"/>
      <c r="C10" s="22"/>
      <c r="D10" s="79"/>
      <c r="E10" s="65"/>
      <c r="F10" s="65"/>
      <c r="G10" s="65"/>
      <c r="H10" s="65"/>
      <c r="I10" s="65"/>
      <c r="J10" s="65"/>
      <c r="K10" s="99"/>
      <c r="L10" s="99"/>
      <c r="M10" s="99"/>
      <c r="N10" s="95"/>
      <c r="O10" s="96"/>
      <c r="P10" s="67"/>
      <c r="Q10" s="80"/>
      <c r="R10" s="80"/>
      <c r="S10" s="80"/>
      <c r="T10" s="80"/>
      <c r="U10" s="72"/>
      <c r="V10" s="74"/>
      <c r="W10" s="74"/>
      <c r="X10" s="88"/>
      <c r="Y10" s="82"/>
      <c r="Z10" s="85"/>
    </row>
    <row r="11" spans="1:29" s="21" customFormat="1" ht="40.5" customHeight="1">
      <c r="A11" s="77"/>
      <c r="B11" s="78"/>
      <c r="C11" s="24"/>
      <c r="D11" s="79"/>
      <c r="E11" s="65"/>
      <c r="F11" s="65"/>
      <c r="G11" s="65"/>
      <c r="H11" s="65"/>
      <c r="I11" s="65"/>
      <c r="J11" s="65"/>
      <c r="K11" s="99"/>
      <c r="L11" s="99"/>
      <c r="M11" s="99"/>
      <c r="N11" s="97"/>
      <c r="O11" s="98"/>
      <c r="P11" s="68"/>
      <c r="Q11" s="80"/>
      <c r="R11" s="80"/>
      <c r="S11" s="80"/>
      <c r="T11" s="80"/>
      <c r="U11" s="73"/>
      <c r="V11" s="74"/>
      <c r="W11" s="74"/>
      <c r="X11" s="89"/>
      <c r="Y11" s="83"/>
      <c r="Z11" s="86"/>
      <c r="AA11" s="54" t="s">
        <v>90</v>
      </c>
      <c r="AB11" s="56" t="s">
        <v>91</v>
      </c>
      <c r="AC11" s="54" t="s">
        <v>93</v>
      </c>
    </row>
    <row r="12" spans="1:29" s="21" customFormat="1" ht="40.5" customHeight="1">
      <c r="A12" s="25">
        <v>1</v>
      </c>
      <c r="B12" s="43" t="s">
        <v>110</v>
      </c>
      <c r="C12" s="44" t="s">
        <v>116</v>
      </c>
      <c r="D12" s="52">
        <v>28134</v>
      </c>
      <c r="E12" s="28">
        <v>6.18</v>
      </c>
      <c r="F12" s="28">
        <f aca="true" t="shared" si="0" ref="F12:F17">E12*0.1</f>
        <v>0.618</v>
      </c>
      <c r="G12" s="30">
        <v>2007</v>
      </c>
      <c r="H12" s="106"/>
      <c r="I12" s="106"/>
      <c r="J12" s="57">
        <f>'γενική κατάταξη'!F12+'γενική κατάταξη'!H12+'γενική κατάταξη'!I12</f>
        <v>0.618</v>
      </c>
      <c r="K12" s="34">
        <v>4</v>
      </c>
      <c r="L12" s="35">
        <v>0.049</v>
      </c>
      <c r="M12" s="35">
        <v>4</v>
      </c>
      <c r="N12" s="69">
        <f aca="true" t="shared" si="1" ref="N12:N17">M12*0.05</f>
        <v>0.2</v>
      </c>
      <c r="O12" s="70"/>
      <c r="P12" s="58">
        <f>'γενική κατάταξη'!L12+'γενική κατάταξη'!N12+O12</f>
        <v>0.249</v>
      </c>
      <c r="Q12" s="106"/>
      <c r="R12" s="38">
        <v>0.06</v>
      </c>
      <c r="S12" s="106"/>
      <c r="T12" s="106"/>
      <c r="U12" s="59">
        <f>'γενική κατάταξη'!Q12+'γενική κατάταξη'!R12+'γενική κατάταξη'!S12+'γενική κατάταξη'!T12</f>
        <v>0.06</v>
      </c>
      <c r="V12" s="106"/>
      <c r="W12" s="106"/>
      <c r="X12" s="40">
        <f>'γενική κατάταξη'!V12+'γενική κατάταξη'!W12</f>
        <v>0</v>
      </c>
      <c r="Y12" s="41" t="s">
        <v>36</v>
      </c>
      <c r="Z12" s="60">
        <f>'γενική κατάταξη'!J12+'γενική κατάταξη'!P12+'γενική κατάταξη'!U12+'γενική κατάταξη'!X12</f>
        <v>0.927</v>
      </c>
      <c r="AA12" s="55" t="s">
        <v>36</v>
      </c>
      <c r="AB12" s="51" t="s">
        <v>94</v>
      </c>
      <c r="AC12" s="38">
        <v>102</v>
      </c>
    </row>
    <row r="13" spans="1:29" ht="20.25" customHeight="1">
      <c r="A13" s="25">
        <v>2</v>
      </c>
      <c r="B13" s="26" t="s">
        <v>105</v>
      </c>
      <c r="C13" s="27" t="s">
        <v>68</v>
      </c>
      <c r="D13" s="52">
        <v>28132</v>
      </c>
      <c r="E13" s="28">
        <v>6.71</v>
      </c>
      <c r="F13" s="28">
        <f t="shared" si="0"/>
        <v>0.671</v>
      </c>
      <c r="G13" s="30">
        <v>2008</v>
      </c>
      <c r="H13" s="31"/>
      <c r="I13" s="32"/>
      <c r="J13" s="57">
        <f>'γενική κατάταξη'!F13+'γενική κατάταξη'!H13+'γενική κατάταξη'!I13</f>
        <v>0.671</v>
      </c>
      <c r="K13" s="34">
        <v>3</v>
      </c>
      <c r="L13" s="35">
        <v>0.048</v>
      </c>
      <c r="M13" s="35">
        <v>3</v>
      </c>
      <c r="N13" s="69">
        <f t="shared" si="1"/>
        <v>0.15000000000000002</v>
      </c>
      <c r="O13" s="70"/>
      <c r="P13" s="58">
        <f>'γενική κατάταξη'!L13+'γενική κατάταξη'!N13+O13</f>
        <v>0.198</v>
      </c>
      <c r="Q13" s="31"/>
      <c r="R13" s="38"/>
      <c r="S13" s="38"/>
      <c r="T13" s="38"/>
      <c r="U13" s="59">
        <f>'γενική κατάταξη'!Q13+'γενική κατάταξη'!R13+'γενική κατάταξη'!S13+'γενική κατάταξη'!T13</f>
        <v>0</v>
      </c>
      <c r="V13" s="32"/>
      <c r="W13" s="32"/>
      <c r="X13" s="40">
        <f>'γενική κατάταξη'!V13+'γενική κατάταξη'!W13</f>
        <v>0</v>
      </c>
      <c r="Y13" s="41" t="s">
        <v>36</v>
      </c>
      <c r="Z13" s="60">
        <f>'γενική κατάταξη'!J13+'γενική κατάταξη'!P13+'γενική κατάταξη'!U13+'γενική κατάταξη'!X13</f>
        <v>0.869</v>
      </c>
      <c r="AA13" s="55" t="s">
        <v>36</v>
      </c>
      <c r="AB13" s="51" t="s">
        <v>92</v>
      </c>
      <c r="AC13" s="38">
        <v>101</v>
      </c>
    </row>
    <row r="14" spans="1:29" ht="37.5" customHeight="1">
      <c r="A14" s="25">
        <v>3</v>
      </c>
      <c r="B14" s="26" t="s">
        <v>108</v>
      </c>
      <c r="C14" s="27" t="s">
        <v>115</v>
      </c>
      <c r="D14" s="52">
        <v>28320</v>
      </c>
      <c r="E14" s="28">
        <v>7.75</v>
      </c>
      <c r="F14" s="28">
        <f t="shared" si="0"/>
        <v>0.775</v>
      </c>
      <c r="G14" s="30">
        <v>2001</v>
      </c>
      <c r="H14" s="31"/>
      <c r="I14" s="32"/>
      <c r="J14" s="57">
        <f>'γενική κατάταξη'!F14+'γενική κατάταξη'!H14+'γενική κατάταξη'!I14</f>
        <v>0.775</v>
      </c>
      <c r="K14" s="34"/>
      <c r="L14" s="35"/>
      <c r="M14" s="35"/>
      <c r="N14" s="69">
        <f t="shared" si="1"/>
        <v>0</v>
      </c>
      <c r="O14" s="70"/>
      <c r="P14" s="58">
        <f>'γενική κατάταξη'!L14+'γενική κατάταξη'!N14+O14</f>
        <v>0</v>
      </c>
      <c r="Q14" s="31"/>
      <c r="R14" s="51">
        <v>0.06</v>
      </c>
      <c r="S14" s="38"/>
      <c r="T14" s="38"/>
      <c r="U14" s="59">
        <f>'γενική κατάταξη'!Q14+'γενική κατάταξη'!R14+'γενική κατάταξη'!S14+'γενική κατάταξη'!T14</f>
        <v>0.06</v>
      </c>
      <c r="V14" s="32"/>
      <c r="W14" s="32"/>
      <c r="X14" s="40">
        <f>'γενική κατάταξη'!V14+'γενική κατάταξη'!W14</f>
        <v>0</v>
      </c>
      <c r="Y14" s="41" t="s">
        <v>36</v>
      </c>
      <c r="Z14" s="60">
        <f>'γενική κατάταξη'!J14+'γενική κατάταξη'!P14+'γενική κατάταξη'!U14+'γενική κατάταξη'!X14</f>
        <v>0.835</v>
      </c>
      <c r="AA14" s="55" t="s">
        <v>36</v>
      </c>
      <c r="AB14" s="51" t="s">
        <v>92</v>
      </c>
      <c r="AC14" s="38">
        <v>101</v>
      </c>
    </row>
    <row r="15" spans="1:29" ht="30" customHeight="1">
      <c r="A15" s="25">
        <v>4</v>
      </c>
      <c r="B15" s="26" t="s">
        <v>107</v>
      </c>
      <c r="C15" s="27" t="s">
        <v>112</v>
      </c>
      <c r="D15" s="52">
        <v>28150</v>
      </c>
      <c r="E15" s="28">
        <v>7.23</v>
      </c>
      <c r="F15" s="28">
        <f t="shared" si="0"/>
        <v>0.7230000000000001</v>
      </c>
      <c r="G15" s="30">
        <v>2012</v>
      </c>
      <c r="H15" s="31"/>
      <c r="I15" s="32"/>
      <c r="J15" s="57">
        <f>'γενική κατάταξη'!F15+'γενική κατάταξη'!H15+'γενική κατάταξη'!I15</f>
        <v>0.7230000000000001</v>
      </c>
      <c r="K15" s="34"/>
      <c r="L15" s="35"/>
      <c r="M15" s="35"/>
      <c r="N15" s="69">
        <f t="shared" si="1"/>
        <v>0</v>
      </c>
      <c r="O15" s="70"/>
      <c r="P15" s="58">
        <f>'γενική κατάταξη'!L15+'γενική κατάταξη'!N15+O15</f>
        <v>0</v>
      </c>
      <c r="Q15" s="31"/>
      <c r="R15" s="38"/>
      <c r="S15" s="38"/>
      <c r="T15" s="38"/>
      <c r="U15" s="59">
        <f>'γενική κατάταξη'!Q15+'γενική κατάταξη'!R15+'γενική κατάταξη'!S15+'γενική κατάταξη'!T15</f>
        <v>0</v>
      </c>
      <c r="V15" s="32"/>
      <c r="W15" s="32"/>
      <c r="X15" s="40">
        <f>'γενική κατάταξη'!V15+'γενική κατάταξη'!W15</f>
        <v>0</v>
      </c>
      <c r="Y15" s="41" t="s">
        <v>36</v>
      </c>
      <c r="Z15" s="60">
        <f>'γενική κατάταξη'!J15+'γενική κατάταξη'!P15+'γενική κατάταξη'!U15+'γενική κατάταξη'!X15</f>
        <v>0.7230000000000001</v>
      </c>
      <c r="AA15" s="55" t="s">
        <v>36</v>
      </c>
      <c r="AB15" s="51" t="s">
        <v>92</v>
      </c>
      <c r="AC15" s="38">
        <v>101</v>
      </c>
    </row>
    <row r="16" spans="1:29" ht="20.25" customHeight="1">
      <c r="A16" s="25">
        <v>5</v>
      </c>
      <c r="B16" s="26" t="s">
        <v>109</v>
      </c>
      <c r="C16" s="27" t="s">
        <v>113</v>
      </c>
      <c r="D16" s="52">
        <v>28129</v>
      </c>
      <c r="E16" s="28">
        <v>7.24</v>
      </c>
      <c r="F16" s="28">
        <f t="shared" si="0"/>
        <v>0.7240000000000001</v>
      </c>
      <c r="G16" s="30">
        <v>2014</v>
      </c>
      <c r="H16" s="31"/>
      <c r="I16" s="32"/>
      <c r="J16" s="57">
        <f>'γενική κατάταξη'!F16+'γενική κατάταξη'!H16+'γενική κατάταξη'!I16</f>
        <v>0.7240000000000001</v>
      </c>
      <c r="K16" s="34"/>
      <c r="L16" s="35"/>
      <c r="M16" s="35"/>
      <c r="N16" s="69">
        <f t="shared" si="1"/>
        <v>0</v>
      </c>
      <c r="O16" s="70"/>
      <c r="P16" s="58">
        <f>'γενική κατάταξη'!L16+'γενική κατάταξη'!N16+O16</f>
        <v>0</v>
      </c>
      <c r="Q16" s="31"/>
      <c r="R16" s="51"/>
      <c r="S16" s="38"/>
      <c r="T16" s="38"/>
      <c r="U16" s="59">
        <f>'γενική κατάταξη'!Q16+'γενική κατάταξη'!R16+'γενική κατάταξη'!S16+'γενική κατάταξη'!T16</f>
        <v>0</v>
      </c>
      <c r="V16" s="32"/>
      <c r="W16" s="32"/>
      <c r="X16" s="40">
        <f>'γενική κατάταξη'!V16+'γενική κατάταξη'!W16</f>
        <v>0</v>
      </c>
      <c r="Y16" s="41" t="s">
        <v>114</v>
      </c>
      <c r="Z16" s="60">
        <f>'γενική κατάταξη'!J16+'γενική κατάταξη'!P16+'γενική κατάταξη'!U16+'γενική κατάταξη'!X16</f>
        <v>0.7240000000000001</v>
      </c>
      <c r="AA16" s="55" t="s">
        <v>36</v>
      </c>
      <c r="AB16" s="51" t="s">
        <v>92</v>
      </c>
      <c r="AC16" s="38">
        <v>101</v>
      </c>
    </row>
    <row r="17" spans="1:29" ht="60" customHeight="1">
      <c r="A17" s="25">
        <v>6</v>
      </c>
      <c r="B17" s="26" t="s">
        <v>106</v>
      </c>
      <c r="C17" s="27" t="s">
        <v>111</v>
      </c>
      <c r="D17" s="52">
        <v>28323</v>
      </c>
      <c r="E17" s="28">
        <v>7.11</v>
      </c>
      <c r="F17" s="28">
        <f t="shared" si="0"/>
        <v>0.7110000000000001</v>
      </c>
      <c r="G17" s="45">
        <v>2011</v>
      </c>
      <c r="H17" s="31"/>
      <c r="I17" s="32"/>
      <c r="J17" s="57">
        <f>'γενική κατάταξη'!F17+'γενική κατάταξη'!H17+'γενική κατάταξη'!I17</f>
        <v>0.7110000000000001</v>
      </c>
      <c r="K17" s="34"/>
      <c r="L17" s="35"/>
      <c r="M17" s="35"/>
      <c r="N17" s="69">
        <f t="shared" si="1"/>
        <v>0</v>
      </c>
      <c r="O17" s="70"/>
      <c r="P17" s="58">
        <f>'γενική κατάταξη'!L17+'γενική κατάταξη'!N17+O17</f>
        <v>0</v>
      </c>
      <c r="Q17" s="31"/>
      <c r="R17" s="38"/>
      <c r="S17" s="38"/>
      <c r="T17" s="38"/>
      <c r="U17" s="59">
        <f>'γενική κατάταξη'!Q17+'γενική κατάταξη'!R17+'γενική κατάταξη'!S17+'γενική κατάταξη'!T17</f>
        <v>0</v>
      </c>
      <c r="V17" s="32"/>
      <c r="W17" s="32"/>
      <c r="X17" s="40">
        <f>'γενική κατάταξη'!V17+'γενική κατάταξη'!W17</f>
        <v>0</v>
      </c>
      <c r="Y17" s="41" t="s">
        <v>114</v>
      </c>
      <c r="Z17" s="60">
        <f>'γενική κατάταξη'!J17+'γενική κατάταξη'!P17+'γενική κατάταξη'!U17+'γενική κατάταξη'!X17</f>
        <v>0.7110000000000001</v>
      </c>
      <c r="AA17" s="55" t="s">
        <v>36</v>
      </c>
      <c r="AB17" s="51" t="s">
        <v>92</v>
      </c>
      <c r="AC17" s="38">
        <v>101</v>
      </c>
    </row>
    <row r="19" ht="12.75" customHeight="1">
      <c r="R19" t="s">
        <v>117</v>
      </c>
    </row>
    <row r="21" spans="14:20" ht="12.75" customHeight="1">
      <c r="N21" s="63" t="s">
        <v>82</v>
      </c>
      <c r="O21" s="64"/>
      <c r="P21" s="64"/>
      <c r="R21" s="61" t="s">
        <v>83</v>
      </c>
      <c r="S21" s="62"/>
      <c r="T21" s="62"/>
    </row>
    <row r="22" spans="14:20" ht="12.75" customHeight="1">
      <c r="N22" s="63" t="s">
        <v>84</v>
      </c>
      <c r="O22" s="64"/>
      <c r="P22" s="64"/>
      <c r="R22" s="61" t="s">
        <v>86</v>
      </c>
      <c r="S22" s="62"/>
      <c r="T22" s="62"/>
    </row>
    <row r="23" spans="14:20" ht="12.75" customHeight="1">
      <c r="N23" s="6"/>
      <c r="O23" s="53"/>
      <c r="P23" s="1"/>
      <c r="R23" s="61" t="s">
        <v>87</v>
      </c>
      <c r="S23" s="62"/>
      <c r="T23" s="62"/>
    </row>
    <row r="24" spans="14:20" ht="12.75" customHeight="1">
      <c r="N24" s="6"/>
      <c r="O24" s="53"/>
      <c r="P24" s="1"/>
      <c r="R24" s="61" t="s">
        <v>88</v>
      </c>
      <c r="S24" s="64"/>
      <c r="T24" s="64"/>
    </row>
    <row r="25" spans="14:18" ht="12.75" customHeight="1">
      <c r="N25" s="6"/>
      <c r="O25" s="53"/>
      <c r="P25" s="1"/>
      <c r="R25"/>
    </row>
    <row r="26" spans="14:18" ht="12.75" customHeight="1">
      <c r="N26" s="6"/>
      <c r="O26" s="53"/>
      <c r="P26" s="1"/>
      <c r="R26"/>
    </row>
    <row r="27" spans="14:20" ht="12.75" customHeight="1">
      <c r="N27" s="63" t="s">
        <v>85</v>
      </c>
      <c r="O27" s="64"/>
      <c r="P27" s="64"/>
      <c r="R27" s="62" t="s">
        <v>89</v>
      </c>
      <c r="S27" s="62"/>
      <c r="T27" s="62"/>
    </row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</sheetData>
  <sheetProtection selectLockedCells="1" selectUnlockedCells="1"/>
  <mergeCells count="50">
    <mergeCell ref="B5:D5"/>
    <mergeCell ref="N15:O15"/>
    <mergeCell ref="I9:I11"/>
    <mergeCell ref="E9:E11"/>
    <mergeCell ref="F9:F11"/>
    <mergeCell ref="G9:G11"/>
    <mergeCell ref="H9:H11"/>
    <mergeCell ref="E8:G8"/>
    <mergeCell ref="Q9:Q11"/>
    <mergeCell ref="K7:O7"/>
    <mergeCell ref="M8:O8"/>
    <mergeCell ref="N9:O11"/>
    <mergeCell ref="K9:K11"/>
    <mergeCell ref="L9:L11"/>
    <mergeCell ref="M9:M11"/>
    <mergeCell ref="K8:L8"/>
    <mergeCell ref="R8:S8"/>
    <mergeCell ref="Y7:Y11"/>
    <mergeCell ref="Z7:Z11"/>
    <mergeCell ref="W8:W11"/>
    <mergeCell ref="R9:R11"/>
    <mergeCell ref="S9:S11"/>
    <mergeCell ref="T8:T11"/>
    <mergeCell ref="V8:V11"/>
    <mergeCell ref="X7:X11"/>
    <mergeCell ref="Q7:T7"/>
    <mergeCell ref="U7:U11"/>
    <mergeCell ref="V7:W7"/>
    <mergeCell ref="N13:O13"/>
    <mergeCell ref="A1:Y1"/>
    <mergeCell ref="A2:Y2"/>
    <mergeCell ref="A3:Y3"/>
    <mergeCell ref="A7:A11"/>
    <mergeCell ref="B7:B11"/>
    <mergeCell ref="D7:D11"/>
    <mergeCell ref="E7:I7"/>
    <mergeCell ref="J7:J11"/>
    <mergeCell ref="P7:P11"/>
    <mergeCell ref="N21:P21"/>
    <mergeCell ref="N22:P22"/>
    <mergeCell ref="N17:O17"/>
    <mergeCell ref="N16:O16"/>
    <mergeCell ref="N12:O12"/>
    <mergeCell ref="N14:O14"/>
    <mergeCell ref="R21:T21"/>
    <mergeCell ref="R27:T27"/>
    <mergeCell ref="N27:P27"/>
    <mergeCell ref="R24:T24"/>
    <mergeCell ref="R23:T23"/>
    <mergeCell ref="R22:T22"/>
  </mergeCells>
  <printOptions/>
  <pageMargins left="0.7480314960629921" right="0.5118110236220472" top="0.984251968503937" bottom="0.984251968503937" header="0.5118110236220472" footer="0.5118110236220472"/>
  <pageSetup fitToHeight="1" fitToWidth="1" horizontalDpi="300" verticalDpi="300" orientation="landscape" paperSize="8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22"/>
  <sheetViews>
    <sheetView zoomScale="75" zoomScaleNormal="75" zoomScalePageLayoutView="0" workbookViewId="0" topLeftCell="A3">
      <selection activeCell="E29" sqref="E29"/>
    </sheetView>
  </sheetViews>
  <sheetFormatPr defaultColWidth="9.140625" defaultRowHeight="12.75" customHeight="1"/>
  <cols>
    <col min="1" max="1" width="5.28125" style="1" customWidth="1"/>
    <col min="2" max="2" width="26.421875" style="3" customWidth="1"/>
    <col min="3" max="3" width="9.7109375" style="1" customWidth="1"/>
    <col min="4" max="6" width="9.7109375" style="3" customWidth="1"/>
    <col min="7" max="7" width="14.00390625" style="3" customWidth="1"/>
    <col min="8" max="8" width="14.421875" style="3" customWidth="1"/>
    <col min="9" max="9" width="9.7109375" style="3" customWidth="1"/>
    <col min="10" max="10" width="13.421875" style="4" customWidth="1"/>
    <col min="11" max="11" width="13.140625" style="4" customWidth="1"/>
    <col min="12" max="12" width="12.00390625" style="4" customWidth="1"/>
    <col min="13" max="13" width="12.8515625" style="4" customWidth="1"/>
    <col min="14" max="14" width="9.7109375" style="5" customWidth="1"/>
    <col min="15" max="15" width="12.28125" style="3" customWidth="1"/>
    <col min="16" max="16" width="13.140625" style="1" customWidth="1"/>
    <col min="17" max="17" width="11.7109375" style="3" customWidth="1"/>
    <col min="18" max="18" width="12.8515625" style="1" customWidth="1"/>
    <col min="19" max="19" width="9.7109375" style="6" customWidth="1"/>
    <col min="20" max="20" width="13.57421875" style="3" customWidth="1"/>
    <col min="21" max="21" width="13.7109375" style="3" customWidth="1"/>
    <col min="22" max="23" width="9.7109375" style="3" customWidth="1"/>
    <col min="24" max="24" width="13.421875" style="7" customWidth="1"/>
    <col min="25" max="16384" width="9.140625" style="3" customWidth="1"/>
  </cols>
  <sheetData>
    <row r="1" spans="1:24" ht="15.7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51" ht="15.7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0" ht="15.75" customHeight="1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4" ht="21.75" customHeight="1">
      <c r="A4"/>
      <c r="B4" s="8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1:24" ht="21.75" customHeight="1">
      <c r="A5" s="10"/>
      <c r="B5" s="11" t="s">
        <v>73</v>
      </c>
      <c r="C5" s="12"/>
      <c r="D5" s="13"/>
      <c r="E5" s="13"/>
      <c r="F5" s="13"/>
      <c r="G5" s="13"/>
      <c r="H5" s="13"/>
      <c r="I5" s="13"/>
      <c r="J5" s="14"/>
      <c r="K5" s="14"/>
      <c r="L5" s="14"/>
      <c r="M5" s="14"/>
      <c r="N5" s="15"/>
      <c r="O5" s="13"/>
      <c r="P5" s="12"/>
      <c r="Q5" s="13"/>
      <c r="R5" s="12"/>
      <c r="S5" s="16"/>
      <c r="T5" s="10"/>
      <c r="U5" s="10"/>
      <c r="V5" s="10"/>
      <c r="W5" s="10"/>
      <c r="X5" s="17"/>
    </row>
    <row r="6" spans="1:24" ht="21.75" customHeight="1">
      <c r="A6" s="10"/>
      <c r="B6" s="18"/>
      <c r="C6" s="12"/>
      <c r="D6" s="13"/>
      <c r="E6" s="13"/>
      <c r="F6" s="13"/>
      <c r="G6" s="13"/>
      <c r="H6" s="13"/>
      <c r="I6" s="13"/>
      <c r="J6" s="14"/>
      <c r="K6" s="14"/>
      <c r="L6" s="14"/>
      <c r="M6" s="14"/>
      <c r="N6" s="15"/>
      <c r="O6" s="13"/>
      <c r="P6" s="12"/>
      <c r="Q6" s="13"/>
      <c r="R6" s="12"/>
      <c r="S6" s="16"/>
      <c r="T6" s="10"/>
      <c r="U6" s="10"/>
      <c r="V6" s="10"/>
      <c r="W6" s="10"/>
      <c r="X6" s="17"/>
    </row>
    <row r="7" spans="1:24" s="21" customFormat="1" ht="43.5" customHeight="1">
      <c r="A7" s="77" t="s">
        <v>3</v>
      </c>
      <c r="B7" s="78" t="s">
        <v>4</v>
      </c>
      <c r="C7" s="79" t="s">
        <v>5</v>
      </c>
      <c r="D7" s="65" t="s">
        <v>6</v>
      </c>
      <c r="E7" s="65"/>
      <c r="F7" s="65"/>
      <c r="G7" s="65"/>
      <c r="H7" s="65"/>
      <c r="I7" s="65" t="s">
        <v>7</v>
      </c>
      <c r="J7" s="99" t="s">
        <v>8</v>
      </c>
      <c r="K7" s="99"/>
      <c r="L7" s="99"/>
      <c r="M7" s="99"/>
      <c r="N7" s="105" t="s">
        <v>7</v>
      </c>
      <c r="O7" s="80" t="s">
        <v>9</v>
      </c>
      <c r="P7" s="80"/>
      <c r="Q7" s="80"/>
      <c r="R7" s="80"/>
      <c r="S7" s="104" t="s">
        <v>7</v>
      </c>
      <c r="T7" s="74" t="s">
        <v>10</v>
      </c>
      <c r="U7" s="74"/>
      <c r="V7" s="102" t="s">
        <v>7</v>
      </c>
      <c r="W7" s="74" t="s">
        <v>11</v>
      </c>
      <c r="X7" s="103" t="s">
        <v>12</v>
      </c>
    </row>
    <row r="8" spans="1:24" s="21" customFormat="1" ht="27" customHeight="1">
      <c r="A8" s="77"/>
      <c r="B8" s="78"/>
      <c r="C8" s="79"/>
      <c r="D8" s="65" t="s">
        <v>13</v>
      </c>
      <c r="E8" s="65"/>
      <c r="F8" s="65"/>
      <c r="G8" s="23" t="s">
        <v>14</v>
      </c>
      <c r="H8" s="23" t="s">
        <v>15</v>
      </c>
      <c r="I8" s="65"/>
      <c r="J8" s="99" t="s">
        <v>16</v>
      </c>
      <c r="K8" s="99"/>
      <c r="L8" s="99" t="s">
        <v>17</v>
      </c>
      <c r="M8" s="99"/>
      <c r="N8" s="105"/>
      <c r="O8" s="20"/>
      <c r="P8" s="80" t="s">
        <v>18</v>
      </c>
      <c r="Q8" s="80"/>
      <c r="R8" s="80" t="s">
        <v>19</v>
      </c>
      <c r="S8" s="104"/>
      <c r="T8" s="74" t="s">
        <v>20</v>
      </c>
      <c r="U8" s="74" t="s">
        <v>21</v>
      </c>
      <c r="V8" s="102"/>
      <c r="W8" s="74"/>
      <c r="X8" s="103"/>
    </row>
    <row r="9" spans="1:24" s="21" customFormat="1" ht="15.75" customHeight="1">
      <c r="A9" s="77"/>
      <c r="B9" s="78"/>
      <c r="C9" s="79"/>
      <c r="D9" s="65" t="s">
        <v>23</v>
      </c>
      <c r="E9" s="65" t="s">
        <v>24</v>
      </c>
      <c r="F9" s="65" t="s">
        <v>25</v>
      </c>
      <c r="G9" s="65" t="s">
        <v>26</v>
      </c>
      <c r="H9" s="65" t="s">
        <v>27</v>
      </c>
      <c r="I9" s="65"/>
      <c r="J9" s="99" t="s">
        <v>28</v>
      </c>
      <c r="K9" s="99" t="s">
        <v>66</v>
      </c>
      <c r="L9" s="99" t="s">
        <v>30</v>
      </c>
      <c r="M9" s="99" t="s">
        <v>67</v>
      </c>
      <c r="N9" s="105"/>
      <c r="O9" s="80" t="s">
        <v>32</v>
      </c>
      <c r="P9" s="80" t="s">
        <v>33</v>
      </c>
      <c r="Q9" s="80" t="s">
        <v>34</v>
      </c>
      <c r="R9" s="80"/>
      <c r="S9" s="104"/>
      <c r="T9" s="74"/>
      <c r="U9" s="74"/>
      <c r="V9" s="102"/>
      <c r="W9" s="74"/>
      <c r="X9" s="103"/>
    </row>
    <row r="10" spans="1:24" s="21" customFormat="1" ht="41.25" customHeight="1">
      <c r="A10" s="77"/>
      <c r="B10" s="78"/>
      <c r="C10" s="79"/>
      <c r="D10" s="65"/>
      <c r="E10" s="65"/>
      <c r="F10" s="65"/>
      <c r="G10" s="65"/>
      <c r="H10" s="65"/>
      <c r="I10" s="65"/>
      <c r="J10" s="99"/>
      <c r="K10" s="99"/>
      <c r="L10" s="99"/>
      <c r="M10" s="99"/>
      <c r="N10" s="105"/>
      <c r="O10" s="80"/>
      <c r="P10" s="80"/>
      <c r="Q10" s="80"/>
      <c r="R10" s="80"/>
      <c r="S10" s="104"/>
      <c r="T10" s="74"/>
      <c r="U10" s="74"/>
      <c r="V10" s="102"/>
      <c r="W10" s="74"/>
      <c r="X10" s="103"/>
    </row>
    <row r="11" spans="1:24" s="21" customFormat="1" ht="40.5" customHeight="1">
      <c r="A11" s="77"/>
      <c r="B11" s="78"/>
      <c r="C11" s="79"/>
      <c r="D11" s="65"/>
      <c r="E11" s="65"/>
      <c r="F11" s="65"/>
      <c r="G11" s="65"/>
      <c r="H11" s="65"/>
      <c r="I11" s="65"/>
      <c r="J11" s="99"/>
      <c r="K11" s="99"/>
      <c r="L11" s="99"/>
      <c r="M11" s="99"/>
      <c r="N11" s="105"/>
      <c r="O11" s="80"/>
      <c r="P11" s="80"/>
      <c r="Q11" s="80"/>
      <c r="R11" s="80"/>
      <c r="S11" s="104"/>
      <c r="T11" s="74"/>
      <c r="U11" s="74"/>
      <c r="V11" s="102"/>
      <c r="W11" s="74"/>
      <c r="X11" s="103"/>
    </row>
    <row r="12" spans="1:24" ht="20.25" customHeight="1">
      <c r="A12" s="25" t="s">
        <v>35</v>
      </c>
      <c r="B12" s="26"/>
      <c r="C12" s="27"/>
      <c r="D12" s="28">
        <v>0</v>
      </c>
      <c r="E12" s="29">
        <f aca="true" t="shared" si="0" ref="E12:E22">D12*0.3</f>
        <v>0</v>
      </c>
      <c r="F12" s="30">
        <v>1994</v>
      </c>
      <c r="G12" s="31"/>
      <c r="H12" s="32"/>
      <c r="I12" s="33">
        <f aca="true" t="shared" si="1" ref="I12:I22">E12+G12+H12</f>
        <v>0</v>
      </c>
      <c r="J12" s="34">
        <v>34</v>
      </c>
      <c r="K12" s="35">
        <f>J12*0.08</f>
        <v>2.72</v>
      </c>
      <c r="L12" s="35">
        <v>26</v>
      </c>
      <c r="M12" s="36">
        <f>(70+72+68+60+75+71+72+111+114+62+74+114+114+67+62+114+114+78+114+84+66+69+72+68+106+66)*0.08/120</f>
        <v>1.438</v>
      </c>
      <c r="N12" s="37">
        <f aca="true" t="shared" si="2" ref="N12:N22">K12+M12</f>
        <v>4.158</v>
      </c>
      <c r="O12" s="31"/>
      <c r="P12" s="38">
        <v>0.30000000000000004</v>
      </c>
      <c r="Q12" s="38"/>
      <c r="R12" s="38"/>
      <c r="S12" s="39">
        <f>O12+P12+Q12+R12</f>
        <v>0.30000000000000004</v>
      </c>
      <c r="T12" s="32">
        <v>1</v>
      </c>
      <c r="U12" s="32"/>
      <c r="V12" s="40">
        <f aca="true" t="shared" si="3" ref="V12:V22">T12+U12</f>
        <v>1</v>
      </c>
      <c r="W12" s="41" t="s">
        <v>36</v>
      </c>
      <c r="X12" s="42">
        <f aca="true" t="shared" si="4" ref="X12:X22">I12+N12+S12+V12</f>
        <v>5.458</v>
      </c>
    </row>
    <row r="13" spans="1:24" ht="20.25" customHeight="1">
      <c r="A13" s="25" t="s">
        <v>37</v>
      </c>
      <c r="B13" s="26"/>
      <c r="C13" s="27"/>
      <c r="D13" s="28">
        <v>0</v>
      </c>
      <c r="E13" s="29">
        <f t="shared" si="0"/>
        <v>0</v>
      </c>
      <c r="F13" s="30">
        <v>1999</v>
      </c>
      <c r="G13" s="31"/>
      <c r="H13" s="32"/>
      <c r="I13" s="33">
        <f t="shared" si="1"/>
        <v>0</v>
      </c>
      <c r="J13" s="34">
        <v>2</v>
      </c>
      <c r="K13" s="35">
        <f>J13*0.08</f>
        <v>0.16</v>
      </c>
      <c r="L13" s="35">
        <v>54</v>
      </c>
      <c r="M13" s="36">
        <f>(100+75*3+37+88+100+75+50+50+75+75+60+65+75*4+57+55+75+60+60+75*3+94*8+100*7+80+94+90*5+86+80+65+65+51+33+113+14+114+117)*0.08/120</f>
        <v>3.0973333333333333</v>
      </c>
      <c r="N13" s="37">
        <f t="shared" si="2"/>
        <v>3.2573333333333334</v>
      </c>
      <c r="O13" s="31"/>
      <c r="P13" s="38">
        <v>0.6000000000000001</v>
      </c>
      <c r="Q13" s="38"/>
      <c r="R13" s="38"/>
      <c r="S13" s="39">
        <f>O13+P13+Q13+R13</f>
        <v>0.6000000000000001</v>
      </c>
      <c r="T13" s="32">
        <v>1</v>
      </c>
      <c r="U13" s="32"/>
      <c r="V13" s="40">
        <f t="shared" si="3"/>
        <v>1</v>
      </c>
      <c r="W13" s="41" t="s">
        <v>36</v>
      </c>
      <c r="X13" s="42">
        <f t="shared" si="4"/>
        <v>4.857333333333333</v>
      </c>
    </row>
    <row r="14" spans="1:24" ht="20.25" customHeight="1">
      <c r="A14" s="25" t="s">
        <v>38</v>
      </c>
      <c r="B14" s="43"/>
      <c r="C14" s="27"/>
      <c r="D14" s="28">
        <v>0</v>
      </c>
      <c r="E14" s="29">
        <f t="shared" si="0"/>
        <v>0</v>
      </c>
      <c r="F14" s="30">
        <v>1995</v>
      </c>
      <c r="G14" s="31"/>
      <c r="H14" s="32"/>
      <c r="I14" s="33">
        <f t="shared" si="1"/>
        <v>0</v>
      </c>
      <c r="J14" s="34">
        <v>12</v>
      </c>
      <c r="K14" s="35">
        <f>J14*0.08</f>
        <v>0.96</v>
      </c>
      <c r="L14" s="35">
        <v>19</v>
      </c>
      <c r="M14" s="36">
        <f>(49+113+108+116+117+115+60+60+110+36+56+27+52+80+75+75+74+56)*0.08/120</f>
        <v>0.9193333333333334</v>
      </c>
      <c r="N14" s="37">
        <f t="shared" si="2"/>
        <v>1.8793333333333333</v>
      </c>
      <c r="O14" s="31"/>
      <c r="P14" s="38">
        <v>0.6000000000000001</v>
      </c>
      <c r="Q14" s="38"/>
      <c r="R14" s="38"/>
      <c r="S14" s="39">
        <f>O14+P14+Q14+R14</f>
        <v>0.6000000000000001</v>
      </c>
      <c r="T14" s="32">
        <v>1</v>
      </c>
      <c r="U14" s="32"/>
      <c r="V14" s="40">
        <f t="shared" si="3"/>
        <v>1</v>
      </c>
      <c r="W14" s="41" t="s">
        <v>36</v>
      </c>
      <c r="X14" s="42">
        <f t="shared" si="4"/>
        <v>3.4793333333333334</v>
      </c>
    </row>
    <row r="15" spans="1:24" ht="20.25" customHeight="1">
      <c r="A15" s="25" t="s">
        <v>40</v>
      </c>
      <c r="B15" s="26"/>
      <c r="C15" s="27"/>
      <c r="D15" s="28">
        <v>0</v>
      </c>
      <c r="E15" s="29">
        <f t="shared" si="0"/>
        <v>0</v>
      </c>
      <c r="F15" s="30">
        <v>2007</v>
      </c>
      <c r="G15" s="31"/>
      <c r="H15" s="32"/>
      <c r="I15" s="33">
        <f t="shared" si="1"/>
        <v>0</v>
      </c>
      <c r="J15" s="34">
        <v>5</v>
      </c>
      <c r="K15" s="35">
        <f>J15*0.08</f>
        <v>0.4</v>
      </c>
      <c r="L15" s="35">
        <v>45</v>
      </c>
      <c r="M15" s="36">
        <f>(16+26+20+30+39+36+36+38+18+84+96+111+108+114+96+111+54+2+95+80+92+80+60+42+70+79+76+72+73+67+7+41+33+40+23+4+45+110+116+117+114+56+28+82+100)*0.08/120</f>
        <v>1.8913333333333333</v>
      </c>
      <c r="N15" s="37">
        <f t="shared" si="2"/>
        <v>2.291333333333333</v>
      </c>
      <c r="O15" s="31"/>
      <c r="P15" s="38"/>
      <c r="Q15" s="38"/>
      <c r="R15" s="38"/>
      <c r="S15" s="39"/>
      <c r="T15" s="32">
        <v>1</v>
      </c>
      <c r="U15" s="32"/>
      <c r="V15" s="40">
        <f t="shared" si="3"/>
        <v>1</v>
      </c>
      <c r="W15" s="41" t="s">
        <v>36</v>
      </c>
      <c r="X15" s="42">
        <f t="shared" si="4"/>
        <v>3.291333333333333</v>
      </c>
    </row>
    <row r="16" spans="1:24" ht="20.25" customHeight="1">
      <c r="A16" s="25" t="s">
        <v>41</v>
      </c>
      <c r="B16" s="26"/>
      <c r="C16" s="27"/>
      <c r="D16" s="28">
        <v>0</v>
      </c>
      <c r="E16" s="29">
        <f t="shared" si="0"/>
        <v>0</v>
      </c>
      <c r="F16" s="30">
        <v>2003</v>
      </c>
      <c r="G16" s="31">
        <v>0.5</v>
      </c>
      <c r="H16" s="32"/>
      <c r="I16" s="33">
        <f t="shared" si="1"/>
        <v>0.5</v>
      </c>
      <c r="J16" s="34"/>
      <c r="K16" s="35"/>
      <c r="L16" s="35">
        <v>29</v>
      </c>
      <c r="M16" s="36">
        <f>(30+39+39+33+42+33+39+18+9+13+12+11+12+12+8+12+20+26+20+26+18+95+105+80+85+95+110+55+105)*0.08/120</f>
        <v>0.8013333333333333</v>
      </c>
      <c r="N16" s="37">
        <f t="shared" si="2"/>
        <v>0.8013333333333333</v>
      </c>
      <c r="O16" s="31"/>
      <c r="P16" s="38">
        <v>0.6000000000000001</v>
      </c>
      <c r="Q16" s="38"/>
      <c r="R16" s="38"/>
      <c r="S16" s="39">
        <f>O16+P16+Q16+R16</f>
        <v>0.6000000000000001</v>
      </c>
      <c r="T16" s="32">
        <v>1</v>
      </c>
      <c r="U16" s="32"/>
      <c r="V16" s="40">
        <f t="shared" si="3"/>
        <v>1</v>
      </c>
      <c r="W16" s="41" t="s">
        <v>36</v>
      </c>
      <c r="X16" s="42">
        <f t="shared" si="4"/>
        <v>2.9013333333333335</v>
      </c>
    </row>
    <row r="17" spans="1:24" ht="20.25" customHeight="1">
      <c r="A17" s="25" t="s">
        <v>42</v>
      </c>
      <c r="B17" s="26"/>
      <c r="C17" s="27"/>
      <c r="D17" s="28">
        <v>0</v>
      </c>
      <c r="E17" s="29">
        <f t="shared" si="0"/>
        <v>0</v>
      </c>
      <c r="F17" s="30">
        <v>1995</v>
      </c>
      <c r="G17" s="31"/>
      <c r="H17" s="32"/>
      <c r="I17" s="33">
        <f t="shared" si="1"/>
        <v>0</v>
      </c>
      <c r="J17" s="34">
        <v>2</v>
      </c>
      <c r="K17" s="35">
        <f>J17*0.08</f>
        <v>0.16</v>
      </c>
      <c r="L17" s="35">
        <v>3</v>
      </c>
      <c r="M17" s="36">
        <f>(114+114+104)*0.08/120</f>
        <v>0.22133333333333335</v>
      </c>
      <c r="N17" s="37">
        <f t="shared" si="2"/>
        <v>0.38133333333333336</v>
      </c>
      <c r="O17" s="31"/>
      <c r="P17" s="38">
        <v>0.6000000000000001</v>
      </c>
      <c r="Q17" s="38"/>
      <c r="R17" s="38"/>
      <c r="S17" s="39">
        <f>O17+P17+Q17+R17</f>
        <v>0.6000000000000001</v>
      </c>
      <c r="T17" s="32">
        <v>1</v>
      </c>
      <c r="U17" s="32"/>
      <c r="V17" s="40">
        <f t="shared" si="3"/>
        <v>1</v>
      </c>
      <c r="W17" s="41" t="s">
        <v>36</v>
      </c>
      <c r="X17" s="42">
        <f t="shared" si="4"/>
        <v>1.9813333333333334</v>
      </c>
    </row>
    <row r="18" spans="1:24" ht="20.25" customHeight="1">
      <c r="A18" s="25" t="s">
        <v>43</v>
      </c>
      <c r="B18" s="26"/>
      <c r="C18" s="27"/>
      <c r="D18" s="28">
        <v>0</v>
      </c>
      <c r="E18" s="29">
        <f t="shared" si="0"/>
        <v>0</v>
      </c>
      <c r="F18" s="30">
        <v>2011</v>
      </c>
      <c r="G18" s="31"/>
      <c r="H18" s="32"/>
      <c r="I18" s="33">
        <f t="shared" si="1"/>
        <v>0</v>
      </c>
      <c r="J18" s="34"/>
      <c r="K18" s="35"/>
      <c r="L18" s="35"/>
      <c r="M18" s="36"/>
      <c r="N18" s="37">
        <f t="shared" si="2"/>
        <v>0</v>
      </c>
      <c r="O18" s="31"/>
      <c r="P18" s="38">
        <v>0.30000000000000004</v>
      </c>
      <c r="Q18" s="38"/>
      <c r="R18" s="38"/>
      <c r="S18" s="39">
        <f>O18+P18+Q18+R18</f>
        <v>0.30000000000000004</v>
      </c>
      <c r="T18" s="32">
        <v>1</v>
      </c>
      <c r="U18" s="32"/>
      <c r="V18" s="40">
        <f t="shared" si="3"/>
        <v>1</v>
      </c>
      <c r="W18" s="41" t="s">
        <v>36</v>
      </c>
      <c r="X18" s="42">
        <f t="shared" si="4"/>
        <v>1.3</v>
      </c>
    </row>
    <row r="19" spans="1:24" ht="20.25" customHeight="1">
      <c r="A19" s="25" t="s">
        <v>50</v>
      </c>
      <c r="B19" s="43"/>
      <c r="C19" s="27"/>
      <c r="D19" s="28">
        <v>0</v>
      </c>
      <c r="E19" s="29">
        <f t="shared" si="0"/>
        <v>0</v>
      </c>
      <c r="F19" s="30">
        <v>1999</v>
      </c>
      <c r="G19" s="31"/>
      <c r="H19" s="32"/>
      <c r="I19" s="33">
        <f t="shared" si="1"/>
        <v>0</v>
      </c>
      <c r="J19" s="34"/>
      <c r="K19" s="35"/>
      <c r="L19" s="35">
        <v>31</v>
      </c>
      <c r="M19" s="36">
        <f>(44+48+50+48+56+44+52+26+12+9+11+12+13+7+13+6+10+24*4+14+33+39+30+30+33+42+21+39+6)*0.08/120</f>
        <v>0.5626666666666666</v>
      </c>
      <c r="N19" s="37">
        <f t="shared" si="2"/>
        <v>0.5626666666666666</v>
      </c>
      <c r="O19" s="31"/>
      <c r="P19" s="38"/>
      <c r="Q19" s="38"/>
      <c r="R19" s="38"/>
      <c r="S19" s="39"/>
      <c r="T19" s="32">
        <v>1</v>
      </c>
      <c r="U19" s="32"/>
      <c r="V19" s="40">
        <f t="shared" si="3"/>
        <v>1</v>
      </c>
      <c r="W19" s="41" t="s">
        <v>36</v>
      </c>
      <c r="X19" s="42">
        <f t="shared" si="4"/>
        <v>1.5626666666666666</v>
      </c>
    </row>
    <row r="20" spans="1:24" ht="20.25" customHeight="1">
      <c r="A20" s="25" t="s">
        <v>51</v>
      </c>
      <c r="B20" s="26"/>
      <c r="C20" s="27"/>
      <c r="D20" s="28">
        <v>0</v>
      </c>
      <c r="E20" s="29">
        <f t="shared" si="0"/>
        <v>0</v>
      </c>
      <c r="F20" s="30">
        <v>2014</v>
      </c>
      <c r="G20" s="31"/>
      <c r="H20" s="32"/>
      <c r="I20" s="33">
        <f t="shared" si="1"/>
        <v>0</v>
      </c>
      <c r="J20" s="34"/>
      <c r="K20" s="35"/>
      <c r="L20" s="35"/>
      <c r="M20" s="36"/>
      <c r="N20" s="37">
        <f t="shared" si="2"/>
        <v>0</v>
      </c>
      <c r="O20" s="31"/>
      <c r="P20" s="38"/>
      <c r="Q20" s="38"/>
      <c r="R20" s="38"/>
      <c r="S20" s="39"/>
      <c r="T20" s="32">
        <v>1</v>
      </c>
      <c r="U20" s="32"/>
      <c r="V20" s="40">
        <f t="shared" si="3"/>
        <v>1</v>
      </c>
      <c r="W20" s="41" t="s">
        <v>36</v>
      </c>
      <c r="X20" s="42">
        <f t="shared" si="4"/>
        <v>1</v>
      </c>
    </row>
    <row r="21" spans="1:24" ht="20.25" customHeight="1">
      <c r="A21" s="25" t="s">
        <v>52</v>
      </c>
      <c r="B21" s="26"/>
      <c r="C21" s="27"/>
      <c r="D21" s="28">
        <v>0</v>
      </c>
      <c r="E21" s="29">
        <f t="shared" si="0"/>
        <v>0</v>
      </c>
      <c r="F21" s="30">
        <v>1992</v>
      </c>
      <c r="G21" s="31"/>
      <c r="H21" s="32"/>
      <c r="I21" s="33">
        <f t="shared" si="1"/>
        <v>0</v>
      </c>
      <c r="J21" s="34"/>
      <c r="K21" s="35"/>
      <c r="L21" s="35"/>
      <c r="M21" s="36"/>
      <c r="N21" s="37">
        <f t="shared" si="2"/>
        <v>0</v>
      </c>
      <c r="O21" s="31"/>
      <c r="P21" s="38">
        <v>0.6000000000000001</v>
      </c>
      <c r="Q21" s="38"/>
      <c r="R21" s="38"/>
      <c r="S21" s="39">
        <f>O21+P21+Q21+R21</f>
        <v>0.6000000000000001</v>
      </c>
      <c r="T21" s="32"/>
      <c r="U21" s="32">
        <v>0.5</v>
      </c>
      <c r="V21" s="40">
        <f t="shared" si="3"/>
        <v>0.5</v>
      </c>
      <c r="W21" s="41" t="s">
        <v>39</v>
      </c>
      <c r="X21" s="42">
        <f t="shared" si="4"/>
        <v>1.1</v>
      </c>
    </row>
    <row r="22" spans="1:24" ht="20.25" customHeight="1">
      <c r="A22" s="25" t="s">
        <v>53</v>
      </c>
      <c r="B22" s="26"/>
      <c r="C22" s="27"/>
      <c r="D22" s="28">
        <v>0</v>
      </c>
      <c r="E22" s="29">
        <f t="shared" si="0"/>
        <v>0</v>
      </c>
      <c r="F22" s="30">
        <v>2008</v>
      </c>
      <c r="G22" s="31"/>
      <c r="H22" s="32"/>
      <c r="I22" s="33">
        <f t="shared" si="1"/>
        <v>0</v>
      </c>
      <c r="J22" s="34"/>
      <c r="K22" s="35"/>
      <c r="L22" s="35"/>
      <c r="M22" s="36"/>
      <c r="N22" s="37">
        <f t="shared" si="2"/>
        <v>0</v>
      </c>
      <c r="O22" s="31"/>
      <c r="P22" s="38"/>
      <c r="Q22" s="38"/>
      <c r="R22" s="38"/>
      <c r="S22" s="39"/>
      <c r="T22" s="32">
        <v>1</v>
      </c>
      <c r="U22" s="32"/>
      <c r="V22" s="40">
        <f t="shared" si="3"/>
        <v>1</v>
      </c>
      <c r="W22" s="41" t="s">
        <v>36</v>
      </c>
      <c r="X22" s="42">
        <f t="shared" si="4"/>
        <v>1</v>
      </c>
    </row>
  </sheetData>
  <sheetProtection selectLockedCells="1" selectUnlockedCells="1"/>
  <mergeCells count="35">
    <mergeCell ref="K9:K11"/>
    <mergeCell ref="L9:L11"/>
    <mergeCell ref="D8:F8"/>
    <mergeCell ref="J8:K8"/>
    <mergeCell ref="L8:M8"/>
    <mergeCell ref="P8:Q8"/>
    <mergeCell ref="N7:N11"/>
    <mergeCell ref="D9:D11"/>
    <mergeCell ref="E9:E11"/>
    <mergeCell ref="F9:F11"/>
    <mergeCell ref="G9:G11"/>
    <mergeCell ref="M9:M11"/>
    <mergeCell ref="O9:O11"/>
    <mergeCell ref="H9:H11"/>
    <mergeCell ref="J9:J11"/>
    <mergeCell ref="W7:W11"/>
    <mergeCell ref="X7:X11"/>
    <mergeCell ref="U8:U11"/>
    <mergeCell ref="P9:P11"/>
    <mergeCell ref="Q9:Q11"/>
    <mergeCell ref="R8:R11"/>
    <mergeCell ref="T8:T11"/>
    <mergeCell ref="O7:R7"/>
    <mergeCell ref="S7:S11"/>
    <mergeCell ref="T7:U7"/>
    <mergeCell ref="V7:V11"/>
    <mergeCell ref="A1:X1"/>
    <mergeCell ref="A2:X2"/>
    <mergeCell ref="A3:X3"/>
    <mergeCell ref="A7:A11"/>
    <mergeCell ref="B7:B11"/>
    <mergeCell ref="C7:C11"/>
    <mergeCell ref="D7:H7"/>
    <mergeCell ref="I7:I11"/>
    <mergeCell ref="J7:M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17"/>
  <sheetViews>
    <sheetView zoomScale="75" zoomScaleNormal="75" zoomScalePageLayoutView="0" workbookViewId="0" topLeftCell="A1">
      <selection activeCell="F23" sqref="F23"/>
    </sheetView>
  </sheetViews>
  <sheetFormatPr defaultColWidth="9.140625" defaultRowHeight="12.75" customHeight="1"/>
  <cols>
    <col min="1" max="1" width="5.28125" style="1" customWidth="1"/>
    <col min="2" max="2" width="26.421875" style="3" customWidth="1"/>
    <col min="3" max="3" width="11.140625" style="1" customWidth="1"/>
    <col min="4" max="4" width="9.00390625" style="3" customWidth="1"/>
    <col min="5" max="6" width="11.140625" style="3" customWidth="1"/>
    <col min="7" max="7" width="14.28125" style="3" customWidth="1"/>
    <col min="8" max="8" width="15.57421875" style="3" customWidth="1"/>
    <col min="9" max="9" width="11.140625" style="3" customWidth="1"/>
    <col min="10" max="10" width="12.00390625" style="4" customWidth="1"/>
    <col min="11" max="11" width="12.421875" style="4" customWidth="1"/>
    <col min="12" max="13" width="13.00390625" style="4" customWidth="1"/>
    <col min="14" max="14" width="11.140625" style="5" customWidth="1"/>
    <col min="15" max="15" width="11.140625" style="3" customWidth="1"/>
    <col min="16" max="16" width="11.140625" style="1" customWidth="1"/>
    <col min="17" max="17" width="11.140625" style="3" customWidth="1"/>
    <col min="18" max="18" width="14.140625" style="1" customWidth="1"/>
    <col min="19" max="19" width="11.140625" style="6" customWidth="1"/>
    <col min="20" max="20" width="11.140625" style="3" customWidth="1"/>
    <col min="21" max="21" width="13.7109375" style="3" customWidth="1"/>
    <col min="22" max="23" width="11.140625" style="3" customWidth="1"/>
    <col min="24" max="24" width="13.140625" style="7" customWidth="1"/>
    <col min="25" max="16384" width="9.140625" style="3" customWidth="1"/>
  </cols>
  <sheetData>
    <row r="1" spans="1:24" ht="15.7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51" ht="15.7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0" ht="15.75" customHeight="1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4" ht="21.75" customHeight="1">
      <c r="A4"/>
      <c r="B4" s="8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1:24" ht="21.75" customHeight="1">
      <c r="A5" s="10"/>
      <c r="B5" s="11" t="s">
        <v>74</v>
      </c>
      <c r="C5" s="12"/>
      <c r="D5" s="13"/>
      <c r="E5" s="13"/>
      <c r="F5" s="13"/>
      <c r="G5" s="13"/>
      <c r="H5" s="13"/>
      <c r="I5" s="13"/>
      <c r="J5" s="14"/>
      <c r="K5" s="14"/>
      <c r="L5" s="14"/>
      <c r="M5" s="14"/>
      <c r="N5" s="15"/>
      <c r="O5" s="13"/>
      <c r="P5" s="12"/>
      <c r="Q5" s="13"/>
      <c r="R5" s="12"/>
      <c r="S5" s="16"/>
      <c r="T5" s="10"/>
      <c r="U5" s="10"/>
      <c r="V5" s="10"/>
      <c r="W5" s="10"/>
      <c r="X5" s="17"/>
    </row>
    <row r="6" spans="1:24" ht="21.75" customHeight="1">
      <c r="A6" s="10"/>
      <c r="B6" s="18"/>
      <c r="C6" s="12"/>
      <c r="D6" s="13"/>
      <c r="E6" s="13"/>
      <c r="F6" s="13"/>
      <c r="G6" s="13"/>
      <c r="H6" s="13"/>
      <c r="I6" s="13"/>
      <c r="J6" s="14"/>
      <c r="K6" s="14"/>
      <c r="L6" s="14"/>
      <c r="M6" s="14"/>
      <c r="N6" s="15"/>
      <c r="O6" s="13"/>
      <c r="P6" s="12"/>
      <c r="Q6" s="13"/>
      <c r="R6" s="12"/>
      <c r="S6" s="16"/>
      <c r="T6" s="10"/>
      <c r="U6" s="10"/>
      <c r="V6" s="10"/>
      <c r="W6" s="10"/>
      <c r="X6" s="17"/>
    </row>
    <row r="7" spans="1:24" s="21" customFormat="1" ht="43.5" customHeight="1">
      <c r="A7" s="77" t="s">
        <v>3</v>
      </c>
      <c r="B7" s="78" t="s">
        <v>4</v>
      </c>
      <c r="C7" s="79" t="s">
        <v>5</v>
      </c>
      <c r="D7" s="65" t="s">
        <v>6</v>
      </c>
      <c r="E7" s="65"/>
      <c r="F7" s="65"/>
      <c r="G7" s="65"/>
      <c r="H7" s="65"/>
      <c r="I7" s="65" t="s">
        <v>7</v>
      </c>
      <c r="J7" s="99" t="s">
        <v>8</v>
      </c>
      <c r="K7" s="99"/>
      <c r="L7" s="99"/>
      <c r="M7" s="99"/>
      <c r="N7" s="105" t="s">
        <v>7</v>
      </c>
      <c r="O7" s="80" t="s">
        <v>9</v>
      </c>
      <c r="P7" s="80"/>
      <c r="Q7" s="80"/>
      <c r="R7" s="80"/>
      <c r="S7" s="104" t="s">
        <v>7</v>
      </c>
      <c r="T7" s="74" t="s">
        <v>10</v>
      </c>
      <c r="U7" s="74"/>
      <c r="V7" s="102" t="s">
        <v>7</v>
      </c>
      <c r="W7" s="74" t="s">
        <v>11</v>
      </c>
      <c r="X7" s="103" t="s">
        <v>12</v>
      </c>
    </row>
    <row r="8" spans="1:24" s="21" customFormat="1" ht="27" customHeight="1">
      <c r="A8" s="77"/>
      <c r="B8" s="78"/>
      <c r="C8" s="79"/>
      <c r="D8" s="65" t="s">
        <v>13</v>
      </c>
      <c r="E8" s="65"/>
      <c r="F8" s="65"/>
      <c r="G8" s="23" t="s">
        <v>14</v>
      </c>
      <c r="H8" s="23" t="s">
        <v>15</v>
      </c>
      <c r="I8" s="65"/>
      <c r="J8" s="99" t="s">
        <v>16</v>
      </c>
      <c r="K8" s="99"/>
      <c r="L8" s="99" t="s">
        <v>17</v>
      </c>
      <c r="M8" s="99"/>
      <c r="N8" s="105"/>
      <c r="O8" s="20"/>
      <c r="P8" s="80" t="s">
        <v>18</v>
      </c>
      <c r="Q8" s="80"/>
      <c r="R8" s="80" t="s">
        <v>19</v>
      </c>
      <c r="S8" s="104"/>
      <c r="T8" s="74" t="s">
        <v>20</v>
      </c>
      <c r="U8" s="74" t="s">
        <v>21</v>
      </c>
      <c r="V8" s="102"/>
      <c r="W8" s="74"/>
      <c r="X8" s="103"/>
    </row>
    <row r="9" spans="1:24" s="21" customFormat="1" ht="15.75" customHeight="1">
      <c r="A9" s="77"/>
      <c r="B9" s="78"/>
      <c r="C9" s="79"/>
      <c r="D9" s="65" t="s">
        <v>23</v>
      </c>
      <c r="E9" s="65" t="s">
        <v>24</v>
      </c>
      <c r="F9" s="65" t="s">
        <v>25</v>
      </c>
      <c r="G9" s="65" t="s">
        <v>26</v>
      </c>
      <c r="H9" s="65" t="s">
        <v>27</v>
      </c>
      <c r="I9" s="65"/>
      <c r="J9" s="99" t="s">
        <v>28</v>
      </c>
      <c r="K9" s="99" t="s">
        <v>66</v>
      </c>
      <c r="L9" s="99" t="s">
        <v>30</v>
      </c>
      <c r="M9" s="99" t="s">
        <v>67</v>
      </c>
      <c r="N9" s="105"/>
      <c r="O9" s="80" t="s">
        <v>32</v>
      </c>
      <c r="P9" s="80" t="s">
        <v>33</v>
      </c>
      <c r="Q9" s="80" t="s">
        <v>34</v>
      </c>
      <c r="R9" s="80"/>
      <c r="S9" s="104"/>
      <c r="T9" s="74"/>
      <c r="U9" s="74"/>
      <c r="V9" s="102"/>
      <c r="W9" s="74"/>
      <c r="X9" s="103"/>
    </row>
    <row r="10" spans="1:24" s="21" customFormat="1" ht="41.25" customHeight="1">
      <c r="A10" s="77"/>
      <c r="B10" s="78"/>
      <c r="C10" s="79"/>
      <c r="D10" s="65"/>
      <c r="E10" s="65"/>
      <c r="F10" s="65"/>
      <c r="G10" s="65"/>
      <c r="H10" s="65"/>
      <c r="I10" s="65"/>
      <c r="J10" s="99"/>
      <c r="K10" s="99"/>
      <c r="L10" s="99"/>
      <c r="M10" s="99"/>
      <c r="N10" s="105"/>
      <c r="O10" s="80"/>
      <c r="P10" s="80"/>
      <c r="Q10" s="80"/>
      <c r="R10" s="80"/>
      <c r="S10" s="104"/>
      <c r="T10" s="74"/>
      <c r="U10" s="74"/>
      <c r="V10" s="102"/>
      <c r="W10" s="74"/>
      <c r="X10" s="103"/>
    </row>
    <row r="11" spans="1:24" s="21" customFormat="1" ht="40.5" customHeight="1">
      <c r="A11" s="77"/>
      <c r="B11" s="78"/>
      <c r="C11" s="79"/>
      <c r="D11" s="65"/>
      <c r="E11" s="65"/>
      <c r="F11" s="65"/>
      <c r="G11" s="65"/>
      <c r="H11" s="65"/>
      <c r="I11" s="65"/>
      <c r="J11" s="99"/>
      <c r="K11" s="99"/>
      <c r="L11" s="99"/>
      <c r="M11" s="99"/>
      <c r="N11" s="105"/>
      <c r="O11" s="80"/>
      <c r="P11" s="80"/>
      <c r="Q11" s="80"/>
      <c r="R11" s="80"/>
      <c r="S11" s="104"/>
      <c r="T11" s="74"/>
      <c r="U11" s="74"/>
      <c r="V11" s="102"/>
      <c r="W11" s="74"/>
      <c r="X11" s="103"/>
    </row>
    <row r="12" spans="1:24" ht="20.25" customHeight="1">
      <c r="A12" s="25" t="s">
        <v>35</v>
      </c>
      <c r="B12" s="26"/>
      <c r="C12" s="27"/>
      <c r="D12" s="28">
        <v>0</v>
      </c>
      <c r="E12" s="29">
        <f aca="true" t="shared" si="0" ref="E12:E17">D12*0.3</f>
        <v>0</v>
      </c>
      <c r="F12" s="30">
        <v>1990</v>
      </c>
      <c r="G12" s="31"/>
      <c r="H12" s="32"/>
      <c r="I12" s="33">
        <f aca="true" t="shared" si="1" ref="I12:I17">E12+G12+H12</f>
        <v>0</v>
      </c>
      <c r="J12" s="34"/>
      <c r="K12" s="35"/>
      <c r="L12" s="35">
        <v>60</v>
      </c>
      <c r="M12" s="36">
        <f>(35+91*4+95+88+84+91*2+94+88+55+77+92+53+53+45+44+54+52+51.5+45+53+47+54+46+38+57+61+56+50+58+67+59+67+66+70+65+63+61+63+58+77+63+90+60+64+65+53+80+56+63+61+67+54+56+43+43+50)*0.08/120</f>
        <v>2.570333333333333</v>
      </c>
      <c r="N12" s="37">
        <f aca="true" t="shared" si="2" ref="N12:N17">K12+M12</f>
        <v>2.570333333333333</v>
      </c>
      <c r="O12" s="31"/>
      <c r="P12" s="38">
        <v>0.30000000000000004</v>
      </c>
      <c r="Q12" s="38"/>
      <c r="R12" s="38"/>
      <c r="S12" s="39">
        <f>O12+P12+Q12+R12</f>
        <v>0.30000000000000004</v>
      </c>
      <c r="T12" s="32">
        <v>1</v>
      </c>
      <c r="U12" s="32"/>
      <c r="V12" s="40">
        <f aca="true" t="shared" si="3" ref="V12:V17">T12+U12</f>
        <v>1</v>
      </c>
      <c r="W12" s="41" t="s">
        <v>36</v>
      </c>
      <c r="X12" s="42">
        <f aca="true" t="shared" si="4" ref="X12:X17">I12+N12+S12+V12</f>
        <v>3.870333333333333</v>
      </c>
    </row>
    <row r="13" spans="1:24" ht="20.25" customHeight="1">
      <c r="A13" s="25" t="s">
        <v>37</v>
      </c>
      <c r="B13" s="26"/>
      <c r="C13" s="27"/>
      <c r="D13" s="28">
        <v>0</v>
      </c>
      <c r="E13" s="29">
        <f t="shared" si="0"/>
        <v>0</v>
      </c>
      <c r="F13" s="30">
        <v>2000</v>
      </c>
      <c r="G13" s="31"/>
      <c r="H13" s="32"/>
      <c r="I13" s="33">
        <f t="shared" si="1"/>
        <v>0</v>
      </c>
      <c r="J13" s="34"/>
      <c r="K13" s="35"/>
      <c r="L13" s="35">
        <v>45</v>
      </c>
      <c r="M13" s="36">
        <f>(20+52*4+54+52+48+50+52+54+50+95+105+80+95+110+55+105+15+75+80+105+45+70+45+85+30+136+66+40+48+56+36+52+20+34+43+37+37+31+18)*0.08/120</f>
        <v>1.6246666666666667</v>
      </c>
      <c r="N13" s="37">
        <f t="shared" si="2"/>
        <v>1.6246666666666667</v>
      </c>
      <c r="O13" s="31"/>
      <c r="P13" s="38">
        <v>0.6000000000000001</v>
      </c>
      <c r="Q13" s="38"/>
      <c r="R13" s="38"/>
      <c r="S13" s="39">
        <f>O13+P13+Q13+R13</f>
        <v>0.6000000000000001</v>
      </c>
      <c r="T13" s="32">
        <v>1</v>
      </c>
      <c r="U13" s="32"/>
      <c r="V13" s="40">
        <f t="shared" si="3"/>
        <v>1</v>
      </c>
      <c r="W13" s="41" t="s">
        <v>36</v>
      </c>
      <c r="X13" s="42">
        <f t="shared" si="4"/>
        <v>3.224666666666667</v>
      </c>
    </row>
    <row r="14" spans="1:24" ht="20.25" customHeight="1">
      <c r="A14" s="25" t="s">
        <v>38</v>
      </c>
      <c r="B14" s="26"/>
      <c r="C14" s="27"/>
      <c r="D14" s="28">
        <v>0</v>
      </c>
      <c r="E14" s="29">
        <f t="shared" si="0"/>
        <v>0</v>
      </c>
      <c r="F14" s="30">
        <v>1991</v>
      </c>
      <c r="G14" s="31"/>
      <c r="H14" s="32"/>
      <c r="I14" s="33">
        <f t="shared" si="1"/>
        <v>0</v>
      </c>
      <c r="J14" s="34">
        <v>1</v>
      </c>
      <c r="K14" s="35">
        <f>J14*0.08</f>
        <v>0.08</v>
      </c>
      <c r="L14" s="35">
        <v>52</v>
      </c>
      <c r="M14" s="36">
        <f>(8+16+12+45+48*3+42+39+54+45+48+51+48*2+38+45+42+48*4+23+24+48*2+42+54+48+45+51+33+57+51+45+49+54+104+54+11+88+83+86+88+96+96+96+104*2+100+108)*0.08/120</f>
        <v>1.8713333333333333</v>
      </c>
      <c r="N14" s="37">
        <f t="shared" si="2"/>
        <v>1.9513333333333334</v>
      </c>
      <c r="O14" s="31"/>
      <c r="P14" s="38">
        <v>0.30000000000000004</v>
      </c>
      <c r="Q14" s="38"/>
      <c r="R14" s="38"/>
      <c r="S14" s="39">
        <f>O14+P14+Q14+R14</f>
        <v>0.30000000000000004</v>
      </c>
      <c r="T14" s="32">
        <v>1</v>
      </c>
      <c r="U14" s="32"/>
      <c r="V14" s="40">
        <f t="shared" si="3"/>
        <v>1</v>
      </c>
      <c r="W14" s="41" t="s">
        <v>36</v>
      </c>
      <c r="X14" s="42">
        <f t="shared" si="4"/>
        <v>3.251333333333333</v>
      </c>
    </row>
    <row r="15" spans="1:24" ht="20.25" customHeight="1">
      <c r="A15" s="25" t="s">
        <v>40</v>
      </c>
      <c r="B15" s="43"/>
      <c r="C15" s="27"/>
      <c r="D15" s="28">
        <v>0</v>
      </c>
      <c r="E15" s="29">
        <f t="shared" si="0"/>
        <v>0</v>
      </c>
      <c r="F15" s="30">
        <v>2002</v>
      </c>
      <c r="G15" s="31">
        <v>0.5</v>
      </c>
      <c r="H15" s="32"/>
      <c r="I15" s="33">
        <f t="shared" si="1"/>
        <v>0.5</v>
      </c>
      <c r="J15" s="34">
        <v>4</v>
      </c>
      <c r="K15" s="35">
        <f>J15*0.08</f>
        <v>0.32</v>
      </c>
      <c r="L15" s="35">
        <v>2</v>
      </c>
      <c r="M15" s="36">
        <f>(52+109)*0.08/120</f>
        <v>0.10733333333333334</v>
      </c>
      <c r="N15" s="37">
        <f t="shared" si="2"/>
        <v>0.42733333333333334</v>
      </c>
      <c r="O15" s="31"/>
      <c r="P15" s="38"/>
      <c r="Q15" s="38"/>
      <c r="R15" s="38"/>
      <c r="S15" s="39"/>
      <c r="T15" s="32">
        <v>1</v>
      </c>
      <c r="U15" s="32"/>
      <c r="V15" s="40">
        <f t="shared" si="3"/>
        <v>1</v>
      </c>
      <c r="W15" s="41" t="s">
        <v>36</v>
      </c>
      <c r="X15" s="42">
        <f t="shared" si="4"/>
        <v>1.9273333333333333</v>
      </c>
    </row>
    <row r="16" spans="1:24" ht="20.25" customHeight="1">
      <c r="A16" s="25" t="s">
        <v>41</v>
      </c>
      <c r="B16" s="26"/>
      <c r="C16" s="27"/>
      <c r="D16" s="28">
        <v>0</v>
      </c>
      <c r="E16" s="29">
        <f t="shared" si="0"/>
        <v>0</v>
      </c>
      <c r="F16" s="30">
        <v>1993</v>
      </c>
      <c r="G16" s="31"/>
      <c r="H16" s="32"/>
      <c r="I16" s="33">
        <f t="shared" si="1"/>
        <v>0</v>
      </c>
      <c r="J16" s="34"/>
      <c r="K16" s="35"/>
      <c r="L16" s="35">
        <v>12</v>
      </c>
      <c r="M16" s="36">
        <f>(88+84+91*2+94+88+35+91*4+95)*0.08/120</f>
        <v>0.6866666666666668</v>
      </c>
      <c r="N16" s="37">
        <f t="shared" si="2"/>
        <v>0.6866666666666668</v>
      </c>
      <c r="O16" s="31"/>
      <c r="P16" s="38">
        <v>0.30000000000000004</v>
      </c>
      <c r="Q16" s="38"/>
      <c r="R16" s="38"/>
      <c r="S16" s="39">
        <f>O16+P16+Q16+R16</f>
        <v>0.30000000000000004</v>
      </c>
      <c r="T16" s="32">
        <v>1</v>
      </c>
      <c r="U16" s="32"/>
      <c r="V16" s="40">
        <f t="shared" si="3"/>
        <v>1</v>
      </c>
      <c r="W16" s="41" t="s">
        <v>36</v>
      </c>
      <c r="X16" s="42">
        <f t="shared" si="4"/>
        <v>1.9866666666666668</v>
      </c>
    </row>
    <row r="17" spans="1:24" ht="20.25" customHeight="1">
      <c r="A17" s="25" t="s">
        <v>42</v>
      </c>
      <c r="B17" s="26"/>
      <c r="C17" s="27"/>
      <c r="D17" s="28">
        <v>0</v>
      </c>
      <c r="E17" s="29">
        <f t="shared" si="0"/>
        <v>0</v>
      </c>
      <c r="F17" s="30">
        <v>1996</v>
      </c>
      <c r="G17" s="31"/>
      <c r="H17" s="32"/>
      <c r="I17" s="33">
        <f t="shared" si="1"/>
        <v>0</v>
      </c>
      <c r="J17" s="34"/>
      <c r="K17" s="35"/>
      <c r="L17" s="35">
        <v>21</v>
      </c>
      <c r="M17" s="36">
        <f>(34+39+31+31+32+37+19+40+5+50+48+52+52+54+50+35+91*4+95)*0.08/120</f>
        <v>0.712</v>
      </c>
      <c r="N17" s="37">
        <f t="shared" si="2"/>
        <v>0.712</v>
      </c>
      <c r="O17" s="31"/>
      <c r="P17" s="38"/>
      <c r="Q17" s="38"/>
      <c r="R17" s="38"/>
      <c r="S17" s="39"/>
      <c r="T17" s="32">
        <v>1</v>
      </c>
      <c r="U17" s="32"/>
      <c r="V17" s="40">
        <f t="shared" si="3"/>
        <v>1</v>
      </c>
      <c r="W17" s="41" t="s">
        <v>36</v>
      </c>
      <c r="X17" s="42">
        <f t="shared" si="4"/>
        <v>1.712</v>
      </c>
    </row>
  </sheetData>
  <sheetProtection selectLockedCells="1" selectUnlockedCells="1"/>
  <mergeCells count="35">
    <mergeCell ref="K9:K11"/>
    <mergeCell ref="L9:L11"/>
    <mergeCell ref="D8:F8"/>
    <mergeCell ref="J8:K8"/>
    <mergeCell ref="L8:M8"/>
    <mergeCell ref="P8:Q8"/>
    <mergeCell ref="N7:N11"/>
    <mergeCell ref="D9:D11"/>
    <mergeCell ref="E9:E11"/>
    <mergeCell ref="F9:F11"/>
    <mergeCell ref="G9:G11"/>
    <mergeCell ref="M9:M11"/>
    <mergeCell ref="O9:O11"/>
    <mergeCell ref="H9:H11"/>
    <mergeCell ref="J9:J11"/>
    <mergeCell ref="W7:W11"/>
    <mergeCell ref="X7:X11"/>
    <mergeCell ref="U8:U11"/>
    <mergeCell ref="P9:P11"/>
    <mergeCell ref="Q9:Q11"/>
    <mergeCell ref="R8:R11"/>
    <mergeCell ref="T8:T11"/>
    <mergeCell ref="O7:R7"/>
    <mergeCell ref="S7:S11"/>
    <mergeCell ref="T7:U7"/>
    <mergeCell ref="V7:V11"/>
    <mergeCell ref="A1:X1"/>
    <mergeCell ref="A2:X2"/>
    <mergeCell ref="A3:X3"/>
    <mergeCell ref="A7:A11"/>
    <mergeCell ref="B7:B11"/>
    <mergeCell ref="C7:C11"/>
    <mergeCell ref="D7:H7"/>
    <mergeCell ref="I7:I11"/>
    <mergeCell ref="J7:M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R30"/>
  <sheetViews>
    <sheetView zoomScale="75" zoomScaleNormal="75" zoomScalePageLayoutView="0" workbookViewId="0" topLeftCell="A1">
      <selection activeCell="G35" sqref="G35"/>
    </sheetView>
  </sheetViews>
  <sheetFormatPr defaultColWidth="9.140625" defaultRowHeight="12.75" customHeight="1"/>
  <cols>
    <col min="1" max="1" width="5.28125" style="1" customWidth="1"/>
    <col min="2" max="2" width="25.28125" style="3" customWidth="1"/>
    <col min="3" max="3" width="10.8515625" style="3" customWidth="1"/>
    <col min="4" max="4" width="9.57421875" style="1" customWidth="1"/>
    <col min="5" max="5" width="9.7109375" style="3" customWidth="1"/>
    <col min="6" max="6" width="10.00390625" style="3" customWidth="1"/>
    <col min="7" max="7" width="12.8515625" style="3" customWidth="1"/>
    <col min="8" max="8" width="12.00390625" style="3" customWidth="1"/>
    <col min="9" max="9" width="10.8515625" style="3" customWidth="1"/>
    <col min="10" max="10" width="12.28125" style="3" customWidth="1"/>
    <col min="11" max="11" width="12.00390625" style="4" customWidth="1"/>
    <col min="12" max="12" width="13.140625" style="4" customWidth="1"/>
    <col min="13" max="13" width="13.00390625" style="4" customWidth="1"/>
    <col min="14" max="14" width="10.8515625" style="4" customWidth="1"/>
    <col min="15" max="15" width="10.8515625" style="5" customWidth="1"/>
    <col min="16" max="16" width="10.8515625" style="3" customWidth="1"/>
    <col min="17" max="17" width="10.8515625" style="1" customWidth="1"/>
    <col min="18" max="18" width="13.00390625" style="3" customWidth="1"/>
    <col min="19" max="19" width="10.8515625" style="1" customWidth="1"/>
    <col min="20" max="20" width="10.8515625" style="6" customWidth="1"/>
    <col min="21" max="21" width="13.421875" style="3" customWidth="1"/>
    <col min="22" max="22" width="9.7109375" style="3" customWidth="1"/>
    <col min="23" max="23" width="10.8515625" style="3" customWidth="1"/>
    <col min="24" max="24" width="13.421875" style="3" customWidth="1"/>
    <col min="25" max="16384" width="9.140625" style="3" customWidth="1"/>
  </cols>
  <sheetData>
    <row r="1" spans="1:24" ht="15.7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50" ht="15.7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49" ht="15.75" customHeight="1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</row>
    <row r="4" spans="1:252" ht="21.75" customHeight="1">
      <c r="A4"/>
      <c r="B4" s="8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</row>
    <row r="5" spans="1:24" ht="21.75" customHeight="1">
      <c r="A5" s="10"/>
      <c r="B5" s="11" t="s">
        <v>75</v>
      </c>
      <c r="C5" s="12"/>
      <c r="D5" s="13"/>
      <c r="E5" s="13"/>
      <c r="F5" s="13"/>
      <c r="G5" s="13"/>
      <c r="H5" s="13"/>
      <c r="I5" s="13"/>
      <c r="J5" s="14"/>
      <c r="K5" s="14"/>
      <c r="L5" s="14"/>
      <c r="M5" s="14"/>
      <c r="N5" s="15"/>
      <c r="O5" s="13"/>
      <c r="P5" s="12"/>
      <c r="Q5" s="13"/>
      <c r="R5" s="12"/>
      <c r="S5" s="16"/>
      <c r="T5" s="10"/>
      <c r="U5" s="10"/>
      <c r="V5" s="10"/>
      <c r="W5" s="10"/>
      <c r="X5" s="17"/>
    </row>
    <row r="6" spans="1:24" ht="21.75" customHeight="1">
      <c r="A6" s="10"/>
      <c r="B6" s="18"/>
      <c r="C6" s="12"/>
      <c r="D6" s="13"/>
      <c r="E6" s="13"/>
      <c r="F6" s="13"/>
      <c r="G6" s="13"/>
      <c r="H6" s="13"/>
      <c r="I6" s="13"/>
      <c r="J6" s="14"/>
      <c r="K6" s="14"/>
      <c r="L6" s="14"/>
      <c r="M6" s="14"/>
      <c r="N6" s="15"/>
      <c r="O6" s="13"/>
      <c r="P6" s="12"/>
      <c r="Q6" s="13"/>
      <c r="R6" s="12"/>
      <c r="S6" s="16"/>
      <c r="T6" s="10"/>
      <c r="U6" s="10"/>
      <c r="V6" s="10"/>
      <c r="W6" s="10"/>
      <c r="X6" s="17"/>
    </row>
    <row r="7" spans="1:24" s="21" customFormat="1" ht="43.5" customHeight="1">
      <c r="A7" s="77" t="s">
        <v>3</v>
      </c>
      <c r="B7" s="78" t="s">
        <v>4</v>
      </c>
      <c r="C7" s="79" t="s">
        <v>5</v>
      </c>
      <c r="D7" s="65" t="s">
        <v>6</v>
      </c>
      <c r="E7" s="65"/>
      <c r="F7" s="65"/>
      <c r="G7" s="65"/>
      <c r="H7" s="65"/>
      <c r="I7" s="65" t="s">
        <v>7</v>
      </c>
      <c r="J7" s="99" t="s">
        <v>8</v>
      </c>
      <c r="K7" s="99"/>
      <c r="L7" s="99"/>
      <c r="M7" s="99"/>
      <c r="N7" s="105" t="s">
        <v>7</v>
      </c>
      <c r="O7" s="80" t="s">
        <v>9</v>
      </c>
      <c r="P7" s="80"/>
      <c r="Q7" s="80"/>
      <c r="R7" s="80"/>
      <c r="S7" s="104" t="s">
        <v>7</v>
      </c>
      <c r="T7" s="74" t="s">
        <v>10</v>
      </c>
      <c r="U7" s="74"/>
      <c r="V7" s="102" t="s">
        <v>7</v>
      </c>
      <c r="W7" s="74" t="s">
        <v>11</v>
      </c>
      <c r="X7" s="103" t="s">
        <v>12</v>
      </c>
    </row>
    <row r="8" spans="1:24" s="21" customFormat="1" ht="27" customHeight="1">
      <c r="A8" s="77"/>
      <c r="B8" s="78"/>
      <c r="C8" s="79"/>
      <c r="D8" s="65" t="s">
        <v>13</v>
      </c>
      <c r="E8" s="65"/>
      <c r="F8" s="65"/>
      <c r="G8" s="23" t="s">
        <v>14</v>
      </c>
      <c r="H8" s="23" t="s">
        <v>15</v>
      </c>
      <c r="I8" s="65"/>
      <c r="J8" s="99" t="s">
        <v>16</v>
      </c>
      <c r="K8" s="99"/>
      <c r="L8" s="99" t="s">
        <v>17</v>
      </c>
      <c r="M8" s="99"/>
      <c r="N8" s="105"/>
      <c r="O8" s="20"/>
      <c r="P8" s="80" t="s">
        <v>18</v>
      </c>
      <c r="Q8" s="80"/>
      <c r="R8" s="80" t="s">
        <v>19</v>
      </c>
      <c r="S8" s="104"/>
      <c r="T8" s="74" t="s">
        <v>20</v>
      </c>
      <c r="U8" s="74" t="s">
        <v>21</v>
      </c>
      <c r="V8" s="102"/>
      <c r="W8" s="74"/>
      <c r="X8" s="103"/>
    </row>
    <row r="9" spans="1:24" s="21" customFormat="1" ht="15.75" customHeight="1">
      <c r="A9" s="77"/>
      <c r="B9" s="78"/>
      <c r="C9" s="79"/>
      <c r="D9" s="65" t="s">
        <v>23</v>
      </c>
      <c r="E9" s="65" t="s">
        <v>24</v>
      </c>
      <c r="F9" s="65" t="s">
        <v>25</v>
      </c>
      <c r="G9" s="65" t="s">
        <v>26</v>
      </c>
      <c r="H9" s="65" t="s">
        <v>27</v>
      </c>
      <c r="I9" s="65"/>
      <c r="J9" s="99" t="s">
        <v>28</v>
      </c>
      <c r="K9" s="99" t="s">
        <v>45</v>
      </c>
      <c r="L9" s="99" t="s">
        <v>30</v>
      </c>
      <c r="M9" s="99" t="s">
        <v>31</v>
      </c>
      <c r="N9" s="105"/>
      <c r="O9" s="80" t="s">
        <v>32</v>
      </c>
      <c r="P9" s="80" t="s">
        <v>33</v>
      </c>
      <c r="Q9" s="80" t="s">
        <v>34</v>
      </c>
      <c r="R9" s="80"/>
      <c r="S9" s="104"/>
      <c r="T9" s="74"/>
      <c r="U9" s="74"/>
      <c r="V9" s="102"/>
      <c r="W9" s="74"/>
      <c r="X9" s="103"/>
    </row>
    <row r="10" spans="1:24" s="21" customFormat="1" ht="41.25" customHeight="1">
      <c r="A10" s="77"/>
      <c r="B10" s="78"/>
      <c r="C10" s="79"/>
      <c r="D10" s="65"/>
      <c r="E10" s="65"/>
      <c r="F10" s="65"/>
      <c r="G10" s="65"/>
      <c r="H10" s="65"/>
      <c r="I10" s="65"/>
      <c r="J10" s="99"/>
      <c r="K10" s="99"/>
      <c r="L10" s="99"/>
      <c r="M10" s="99"/>
      <c r="N10" s="105"/>
      <c r="O10" s="80"/>
      <c r="P10" s="80"/>
      <c r="Q10" s="80"/>
      <c r="R10" s="80"/>
      <c r="S10" s="104"/>
      <c r="T10" s="74"/>
      <c r="U10" s="74"/>
      <c r="V10" s="102"/>
      <c r="W10" s="74"/>
      <c r="X10" s="103"/>
    </row>
    <row r="11" spans="1:24" s="21" customFormat="1" ht="40.5" customHeight="1">
      <c r="A11" s="77"/>
      <c r="B11" s="78"/>
      <c r="C11" s="79"/>
      <c r="D11" s="65"/>
      <c r="E11" s="65"/>
      <c r="F11" s="65"/>
      <c r="G11" s="65"/>
      <c r="H11" s="65"/>
      <c r="I11" s="65"/>
      <c r="J11" s="99"/>
      <c r="K11" s="99"/>
      <c r="L11" s="99"/>
      <c r="M11" s="99"/>
      <c r="N11" s="105"/>
      <c r="O11" s="80"/>
      <c r="P11" s="80"/>
      <c r="Q11" s="80"/>
      <c r="R11" s="80"/>
      <c r="S11" s="104"/>
      <c r="T11" s="74"/>
      <c r="U11" s="74"/>
      <c r="V11" s="102"/>
      <c r="W11" s="74"/>
      <c r="X11" s="103"/>
    </row>
    <row r="12" spans="1:24" ht="21.75" customHeight="1">
      <c r="A12" s="25" t="s">
        <v>35</v>
      </c>
      <c r="B12" s="43"/>
      <c r="C12" s="27"/>
      <c r="D12" s="28">
        <v>0</v>
      </c>
      <c r="E12" s="29">
        <f aca="true" t="shared" si="0" ref="E12:E30">D12*0.3</f>
        <v>0</v>
      </c>
      <c r="F12" s="30">
        <v>1991</v>
      </c>
      <c r="G12" s="31"/>
      <c r="H12" s="32"/>
      <c r="I12" s="33">
        <f aca="true" t="shared" si="1" ref="I12:I30">E12+G12+H12</f>
        <v>0</v>
      </c>
      <c r="J12" s="34">
        <v>30</v>
      </c>
      <c r="K12" s="35">
        <f>J12*0.08</f>
        <v>2.4</v>
      </c>
      <c r="L12" s="35">
        <v>30</v>
      </c>
      <c r="M12" s="36">
        <f>(109+75+115+81+114+102+72+90+114*4+115+71+69+73+72+76+79+88+84+91*3+94+88+117*4)*0.08/120</f>
        <v>1.9093333333333333</v>
      </c>
      <c r="N12" s="37">
        <f aca="true" t="shared" si="2" ref="N12:N30">K12+M12</f>
        <v>4.309333333333333</v>
      </c>
      <c r="O12" s="31"/>
      <c r="P12" s="38">
        <v>0.6000000000000001</v>
      </c>
      <c r="Q12" s="38">
        <v>0.5</v>
      </c>
      <c r="R12" s="38"/>
      <c r="S12" s="39">
        <f>O12+P12+Q12+R12</f>
        <v>1.1</v>
      </c>
      <c r="T12" s="32">
        <v>1</v>
      </c>
      <c r="U12" s="32"/>
      <c r="V12" s="40">
        <f>'άνευ ειδικότητας'!T12+'άνευ ειδικότητας'!U12</f>
        <v>1</v>
      </c>
      <c r="W12" s="41" t="s">
        <v>36</v>
      </c>
      <c r="X12" s="42">
        <f aca="true" t="shared" si="3" ref="X12:X30">I12+N12+S12+V12</f>
        <v>6.409333333333333</v>
      </c>
    </row>
    <row r="13" spans="1:24" ht="21.75" customHeight="1">
      <c r="A13" s="25" t="s">
        <v>37</v>
      </c>
      <c r="B13" s="43"/>
      <c r="C13" s="44"/>
      <c r="D13" s="28">
        <v>0</v>
      </c>
      <c r="E13" s="29">
        <f t="shared" si="0"/>
        <v>0</v>
      </c>
      <c r="F13" s="30">
        <v>1998</v>
      </c>
      <c r="G13" s="31">
        <v>0.5</v>
      </c>
      <c r="H13" s="32"/>
      <c r="I13" s="33">
        <f t="shared" si="1"/>
        <v>0.5</v>
      </c>
      <c r="J13" s="34">
        <v>18</v>
      </c>
      <c r="K13" s="35">
        <f>J13*0.08</f>
        <v>1.44</v>
      </c>
      <c r="L13" s="35">
        <v>31</v>
      </c>
      <c r="M13" s="36">
        <f>(42+91+87+93+70+18+115+117+118+100+24+114+106+82+107+96+94+63+107+118+112+101+80+49+111+117+115+105+58+113+66)*0.08/120</f>
        <v>1.8593333333333333</v>
      </c>
      <c r="N13" s="37">
        <f t="shared" si="2"/>
        <v>3.2993333333333332</v>
      </c>
      <c r="O13" s="31"/>
      <c r="P13" s="38">
        <v>0.30000000000000004</v>
      </c>
      <c r="Q13" s="38"/>
      <c r="R13" s="38"/>
      <c r="S13" s="39">
        <f>O13+P13+Q13+R13</f>
        <v>0.30000000000000004</v>
      </c>
      <c r="T13" s="32">
        <v>1</v>
      </c>
      <c r="U13" s="32"/>
      <c r="V13" s="40">
        <f>'άνευ ειδικότητας'!T13+'άνευ ειδικότητας'!U13</f>
        <v>1</v>
      </c>
      <c r="W13" s="41" t="s">
        <v>36</v>
      </c>
      <c r="X13" s="42">
        <f t="shared" si="3"/>
        <v>5.099333333333333</v>
      </c>
    </row>
    <row r="14" spans="1:24" ht="21.75" customHeight="1">
      <c r="A14" s="25" t="s">
        <v>38</v>
      </c>
      <c r="B14" s="26"/>
      <c r="C14" s="27"/>
      <c r="D14" s="28">
        <v>0</v>
      </c>
      <c r="E14" s="29">
        <f t="shared" si="0"/>
        <v>0</v>
      </c>
      <c r="F14" s="30">
        <v>1994</v>
      </c>
      <c r="G14" s="31"/>
      <c r="H14" s="32"/>
      <c r="I14" s="33">
        <f t="shared" si="1"/>
        <v>0</v>
      </c>
      <c r="J14" s="34">
        <v>26</v>
      </c>
      <c r="K14" s="35">
        <f>J14*0.08</f>
        <v>2.08</v>
      </c>
      <c r="L14" s="35">
        <v>37</v>
      </c>
      <c r="M14" s="36">
        <f>(114+114+114+114+78+86+90+94+83+84+98+83+85+92+68+80+75+95+75+88+103+76+104+72+76+108+48+110+90+110+110+85+100+100)*0.08/120</f>
        <v>2.068</v>
      </c>
      <c r="N14" s="37">
        <f t="shared" si="2"/>
        <v>4.148</v>
      </c>
      <c r="O14" s="31"/>
      <c r="P14" s="38"/>
      <c r="Q14" s="38"/>
      <c r="R14" s="38"/>
      <c r="S14" s="39"/>
      <c r="T14" s="32">
        <v>1</v>
      </c>
      <c r="U14" s="32"/>
      <c r="V14" s="40">
        <f>'άνευ ειδικότητας'!T14+'άνευ ειδικότητας'!U14</f>
        <v>1</v>
      </c>
      <c r="W14" s="41" t="s">
        <v>36</v>
      </c>
      <c r="X14" s="42">
        <f t="shared" si="3"/>
        <v>5.148</v>
      </c>
    </row>
    <row r="15" spans="1:24" ht="21.75" customHeight="1">
      <c r="A15" s="25" t="s">
        <v>40</v>
      </c>
      <c r="B15" s="26"/>
      <c r="C15" s="27"/>
      <c r="D15" s="28">
        <v>0</v>
      </c>
      <c r="E15" s="29">
        <f t="shared" si="0"/>
        <v>0</v>
      </c>
      <c r="F15" s="30">
        <v>1992</v>
      </c>
      <c r="G15" s="31"/>
      <c r="H15" s="32"/>
      <c r="I15" s="33">
        <f t="shared" si="1"/>
        <v>0</v>
      </c>
      <c r="J15" s="34">
        <v>13</v>
      </c>
      <c r="K15" s="35">
        <f>J15*0.08</f>
        <v>1.04</v>
      </c>
      <c r="L15" s="35">
        <v>47</v>
      </c>
      <c r="M15" s="36">
        <f>(17+24+20+22+23+72+80+84+72+24+64+83+88+64+31+35+37+19+41+19+45+54+47+48+27+33+40+30+115+75+102+114+108+108+55+114+18+90+49+81+105+89+114+78+72+48)*0.08/120</f>
        <v>1.852</v>
      </c>
      <c r="N15" s="37">
        <f t="shared" si="2"/>
        <v>2.8920000000000003</v>
      </c>
      <c r="O15" s="31"/>
      <c r="P15" s="38">
        <v>0.30000000000000004</v>
      </c>
      <c r="Q15" s="38"/>
      <c r="R15" s="38"/>
      <c r="S15" s="39">
        <f>O15+P15+Q15+R15</f>
        <v>0.30000000000000004</v>
      </c>
      <c r="T15" s="32">
        <v>1</v>
      </c>
      <c r="U15" s="32"/>
      <c r="V15" s="40">
        <f>'άνευ ειδικότητας'!T15+'άνευ ειδικότητας'!U15</f>
        <v>1</v>
      </c>
      <c r="W15" s="41" t="s">
        <v>36</v>
      </c>
      <c r="X15" s="42">
        <f t="shared" si="3"/>
        <v>4.192</v>
      </c>
    </row>
    <row r="16" spans="1:24" ht="21.75" customHeight="1">
      <c r="A16" s="25" t="s">
        <v>41</v>
      </c>
      <c r="B16" s="26"/>
      <c r="C16" s="27"/>
      <c r="D16" s="28">
        <v>0</v>
      </c>
      <c r="E16" s="29">
        <f t="shared" si="0"/>
        <v>0</v>
      </c>
      <c r="F16" s="30">
        <v>2005</v>
      </c>
      <c r="G16" s="31"/>
      <c r="H16" s="32"/>
      <c r="I16" s="33">
        <f t="shared" si="1"/>
        <v>0</v>
      </c>
      <c r="J16" s="34"/>
      <c r="K16" s="35"/>
      <c r="L16" s="35">
        <v>39</v>
      </c>
      <c r="M16" s="36">
        <f>(88+84+90+91+94+88+3+33+39+39+36+108+111+114+119+118+72+66+69+70+40+70+74+74+74+80+26+83+114+112+112+116+68+35+44+44+44+46+24)*0.08/120</f>
        <v>1.8746666666666667</v>
      </c>
      <c r="N16" s="37">
        <f t="shared" si="2"/>
        <v>1.8746666666666667</v>
      </c>
      <c r="O16" s="31"/>
      <c r="P16" s="38">
        <v>0.6000000000000001</v>
      </c>
      <c r="Q16" s="38">
        <v>0.5</v>
      </c>
      <c r="R16" s="38"/>
      <c r="S16" s="39">
        <f>O16+P16+Q16+R16</f>
        <v>1.1</v>
      </c>
      <c r="T16" s="32">
        <v>1</v>
      </c>
      <c r="U16" s="32"/>
      <c r="V16" s="40">
        <f>'άνευ ειδικότητας'!T16+'άνευ ειδικότητας'!U16</f>
        <v>1</v>
      </c>
      <c r="W16" s="41" t="s">
        <v>36</v>
      </c>
      <c r="X16" s="42">
        <f t="shared" si="3"/>
        <v>3.974666666666667</v>
      </c>
    </row>
    <row r="17" spans="1:24" ht="21.75" customHeight="1">
      <c r="A17" s="25" t="s">
        <v>42</v>
      </c>
      <c r="B17" s="26"/>
      <c r="C17" s="27"/>
      <c r="D17" s="28">
        <v>0</v>
      </c>
      <c r="E17" s="29">
        <f t="shared" si="0"/>
        <v>0</v>
      </c>
      <c r="F17" s="30">
        <v>2006</v>
      </c>
      <c r="G17" s="31">
        <v>0.5</v>
      </c>
      <c r="H17" s="32"/>
      <c r="I17" s="33">
        <f t="shared" si="1"/>
        <v>0.5</v>
      </c>
      <c r="J17" s="34">
        <v>8</v>
      </c>
      <c r="K17" s="35">
        <f>J17*0.08</f>
        <v>0.64</v>
      </c>
      <c r="L17" s="35">
        <v>39</v>
      </c>
      <c r="M17" s="36">
        <f>(60+60+66+69+21+36+39+36+36+24+91+108+102+109+113+108+48+66+48+65+33+29+57+66+60+60+33+78+54+77+76+68+64+76+36+32+48+78+60)*0.08/120</f>
        <v>1.5933333333333335</v>
      </c>
      <c r="N17" s="37">
        <f t="shared" si="2"/>
        <v>2.2333333333333334</v>
      </c>
      <c r="O17" s="31"/>
      <c r="P17" s="38"/>
      <c r="Q17" s="38"/>
      <c r="R17" s="38"/>
      <c r="S17" s="39"/>
      <c r="T17" s="32">
        <v>1</v>
      </c>
      <c r="U17" s="32"/>
      <c r="V17" s="40">
        <f>'άνευ ειδικότητας'!T17+'άνευ ειδικότητας'!U17</f>
        <v>1</v>
      </c>
      <c r="W17" s="41" t="s">
        <v>36</v>
      </c>
      <c r="X17" s="42">
        <f t="shared" si="3"/>
        <v>3.7333333333333334</v>
      </c>
    </row>
    <row r="18" spans="1:24" ht="21.75" customHeight="1">
      <c r="A18" s="25" t="s">
        <v>43</v>
      </c>
      <c r="B18" s="26"/>
      <c r="C18" s="27"/>
      <c r="D18" s="28">
        <v>0</v>
      </c>
      <c r="E18" s="29">
        <f t="shared" si="0"/>
        <v>0</v>
      </c>
      <c r="F18" s="30">
        <v>2002</v>
      </c>
      <c r="G18" s="31"/>
      <c r="H18" s="32"/>
      <c r="I18" s="33">
        <f t="shared" si="1"/>
        <v>0</v>
      </c>
      <c r="J18" s="34">
        <v>6</v>
      </c>
      <c r="K18" s="35">
        <f>J18*0.08</f>
        <v>0.48</v>
      </c>
      <c r="L18" s="35">
        <v>30</v>
      </c>
      <c r="M18" s="36">
        <f>(54+108*2+54+34+63+89+106+108+111+86+112+24+80*2+92+80+84+45+66+63+15+67+33+113+108+117*2+113+50)*0.08/120</f>
        <v>1.5866666666666667</v>
      </c>
      <c r="N18" s="37">
        <f t="shared" si="2"/>
        <v>2.0666666666666664</v>
      </c>
      <c r="O18" s="31"/>
      <c r="P18" s="38">
        <v>0.6000000000000001</v>
      </c>
      <c r="Q18" s="38"/>
      <c r="R18" s="38"/>
      <c r="S18" s="39">
        <f>O18+P18+Q18+R18</f>
        <v>0.6000000000000001</v>
      </c>
      <c r="T18" s="32">
        <v>1</v>
      </c>
      <c r="U18" s="32"/>
      <c r="V18" s="40">
        <f>'άνευ ειδικότητας'!T18+'άνευ ειδικότητας'!U18</f>
        <v>1</v>
      </c>
      <c r="W18" s="41" t="s">
        <v>36</v>
      </c>
      <c r="X18" s="42">
        <f t="shared" si="3"/>
        <v>3.6666666666666665</v>
      </c>
    </row>
    <row r="19" spans="1:24" ht="21.75" customHeight="1">
      <c r="A19" s="25" t="s">
        <v>50</v>
      </c>
      <c r="B19" s="26"/>
      <c r="C19" s="27"/>
      <c r="D19" s="28">
        <v>0</v>
      </c>
      <c r="E19" s="29">
        <f t="shared" si="0"/>
        <v>0</v>
      </c>
      <c r="F19" s="30">
        <v>2000</v>
      </c>
      <c r="G19" s="31"/>
      <c r="H19" s="32"/>
      <c r="I19" s="33">
        <f t="shared" si="1"/>
        <v>0</v>
      </c>
      <c r="J19" s="34">
        <v>8</v>
      </c>
      <c r="K19" s="35">
        <f>J19*0.08</f>
        <v>0.64</v>
      </c>
      <c r="L19" s="35">
        <v>32</v>
      </c>
      <c r="M19" s="36">
        <f>(225+170+84+503+48+114+114+18+90+102+114+108+108+55+115+115+75)*0.08/120</f>
        <v>1.4386666666666668</v>
      </c>
      <c r="N19" s="37">
        <f t="shared" si="2"/>
        <v>2.078666666666667</v>
      </c>
      <c r="O19" s="31"/>
      <c r="P19" s="38"/>
      <c r="Q19" s="38"/>
      <c r="R19" s="38"/>
      <c r="S19" s="39"/>
      <c r="T19" s="32">
        <v>1</v>
      </c>
      <c r="U19" s="32"/>
      <c r="V19" s="40">
        <f>'άνευ ειδικότητας'!T19+'άνευ ειδικότητας'!U19</f>
        <v>1</v>
      </c>
      <c r="W19" s="41" t="s">
        <v>36</v>
      </c>
      <c r="X19" s="42">
        <f t="shared" si="3"/>
        <v>3.078666666666667</v>
      </c>
    </row>
    <row r="20" spans="1:24" ht="21.75" customHeight="1">
      <c r="A20" s="25" t="s">
        <v>51</v>
      </c>
      <c r="B20" s="26"/>
      <c r="C20" s="27"/>
      <c r="D20" s="28">
        <v>0</v>
      </c>
      <c r="E20" s="29">
        <f t="shared" si="0"/>
        <v>0</v>
      </c>
      <c r="F20" s="30">
        <v>1991</v>
      </c>
      <c r="G20" s="31"/>
      <c r="H20" s="32"/>
      <c r="I20" s="33">
        <f t="shared" si="1"/>
        <v>0</v>
      </c>
      <c r="J20" s="34">
        <v>8</v>
      </c>
      <c r="K20" s="35">
        <f>J20*0.08</f>
        <v>0.64</v>
      </c>
      <c r="L20" s="35">
        <v>19</v>
      </c>
      <c r="M20" s="36">
        <f>(50+110+115+55+55+100+100+95+100+50+2+100+109+112+97+49+28+58+59)*0.08/120</f>
        <v>0.9626666666666667</v>
      </c>
      <c r="N20" s="37">
        <f t="shared" si="2"/>
        <v>1.6026666666666667</v>
      </c>
      <c r="O20" s="31"/>
      <c r="P20" s="38">
        <v>0.6000000000000001</v>
      </c>
      <c r="Q20" s="38"/>
      <c r="R20" s="38"/>
      <c r="S20" s="39">
        <f>O20+P20+Q20+R20</f>
        <v>0.6000000000000001</v>
      </c>
      <c r="T20" s="32">
        <v>1</v>
      </c>
      <c r="U20" s="32"/>
      <c r="V20" s="40">
        <f>'άνευ ειδικότητας'!T20+'άνευ ειδικότητας'!U20</f>
        <v>1</v>
      </c>
      <c r="W20" s="41" t="s">
        <v>36</v>
      </c>
      <c r="X20" s="42">
        <f t="shared" si="3"/>
        <v>3.2026666666666666</v>
      </c>
    </row>
    <row r="21" spans="1:24" ht="21.75" customHeight="1">
      <c r="A21" s="25" t="s">
        <v>52</v>
      </c>
      <c r="B21" s="26"/>
      <c r="C21" s="27"/>
      <c r="D21" s="28">
        <v>0</v>
      </c>
      <c r="E21" s="29">
        <f t="shared" si="0"/>
        <v>0</v>
      </c>
      <c r="F21" s="30">
        <v>2007</v>
      </c>
      <c r="G21" s="31"/>
      <c r="H21" s="32"/>
      <c r="I21" s="33">
        <f t="shared" si="1"/>
        <v>0</v>
      </c>
      <c r="J21" s="34"/>
      <c r="K21" s="35"/>
      <c r="L21" s="35">
        <v>33</v>
      </c>
      <c r="M21" s="36">
        <f>(13*7+38*7+21*9+15*7+10*3)*0.08/120</f>
        <v>0.454</v>
      </c>
      <c r="N21" s="37">
        <f t="shared" si="2"/>
        <v>0.454</v>
      </c>
      <c r="O21" s="31"/>
      <c r="P21" s="38">
        <v>0.30000000000000004</v>
      </c>
      <c r="Q21" s="38"/>
      <c r="R21" s="38"/>
      <c r="S21" s="39">
        <f>O21+P21+Q21+R21</f>
        <v>0.30000000000000004</v>
      </c>
      <c r="T21" s="32">
        <v>1</v>
      </c>
      <c r="U21" s="32"/>
      <c r="V21" s="40">
        <f>'άνευ ειδικότητας'!T21+'άνευ ειδικότητας'!U21</f>
        <v>1</v>
      </c>
      <c r="W21" s="41" t="s">
        <v>36</v>
      </c>
      <c r="X21" s="42">
        <f t="shared" si="3"/>
        <v>1.754</v>
      </c>
    </row>
    <row r="22" spans="1:24" ht="21.75" customHeight="1">
      <c r="A22" s="25" t="s">
        <v>53</v>
      </c>
      <c r="B22" s="26"/>
      <c r="C22" s="27"/>
      <c r="D22" s="28">
        <v>0</v>
      </c>
      <c r="E22" s="29">
        <f t="shared" si="0"/>
        <v>0</v>
      </c>
      <c r="F22" s="30">
        <v>2014</v>
      </c>
      <c r="G22" s="31"/>
      <c r="H22" s="32"/>
      <c r="I22" s="33">
        <f t="shared" si="1"/>
        <v>0</v>
      </c>
      <c r="J22" s="34"/>
      <c r="K22" s="35"/>
      <c r="L22" s="35"/>
      <c r="M22" s="36"/>
      <c r="N22" s="37">
        <f t="shared" si="2"/>
        <v>0</v>
      </c>
      <c r="O22" s="31"/>
      <c r="P22" s="38"/>
      <c r="Q22" s="38"/>
      <c r="R22" s="38"/>
      <c r="S22" s="39"/>
      <c r="T22" s="32">
        <v>1</v>
      </c>
      <c r="U22" s="32"/>
      <c r="V22" s="40">
        <f>'άνευ ειδικότητας'!T22+'άνευ ειδικότητας'!U22</f>
        <v>1</v>
      </c>
      <c r="W22" s="41" t="s">
        <v>36</v>
      </c>
      <c r="X22" s="42">
        <f t="shared" si="3"/>
        <v>1</v>
      </c>
    </row>
    <row r="23" spans="1:24" ht="21.75" customHeight="1">
      <c r="A23" s="25" t="s">
        <v>54</v>
      </c>
      <c r="B23" s="26"/>
      <c r="C23" s="27"/>
      <c r="D23" s="28">
        <v>0</v>
      </c>
      <c r="E23" s="29">
        <f t="shared" si="0"/>
        <v>0</v>
      </c>
      <c r="F23" s="30">
        <v>2014</v>
      </c>
      <c r="G23" s="31"/>
      <c r="H23" s="32"/>
      <c r="I23" s="33">
        <f t="shared" si="1"/>
        <v>0</v>
      </c>
      <c r="J23" s="34"/>
      <c r="K23" s="35"/>
      <c r="L23" s="35"/>
      <c r="M23" s="36"/>
      <c r="N23" s="37">
        <f t="shared" si="2"/>
        <v>0</v>
      </c>
      <c r="O23" s="31"/>
      <c r="P23" s="38"/>
      <c r="Q23" s="38"/>
      <c r="R23" s="38"/>
      <c r="S23" s="39"/>
      <c r="T23" s="32">
        <v>1</v>
      </c>
      <c r="U23" s="32"/>
      <c r="V23" s="40">
        <f>'άνευ ειδικότητας'!T23+'άνευ ειδικότητας'!U23</f>
        <v>1</v>
      </c>
      <c r="W23" s="41" t="s">
        <v>36</v>
      </c>
      <c r="X23" s="42">
        <f t="shared" si="3"/>
        <v>1</v>
      </c>
    </row>
    <row r="24" spans="1:24" ht="21.75" customHeight="1">
      <c r="A24" s="25" t="s">
        <v>57</v>
      </c>
      <c r="B24" s="26"/>
      <c r="C24" s="27"/>
      <c r="D24" s="28">
        <v>0</v>
      </c>
      <c r="E24" s="29">
        <f t="shared" si="0"/>
        <v>0</v>
      </c>
      <c r="F24" s="30">
        <v>2010</v>
      </c>
      <c r="G24" s="31"/>
      <c r="H24" s="32"/>
      <c r="I24" s="33">
        <f t="shared" si="1"/>
        <v>0</v>
      </c>
      <c r="J24" s="34"/>
      <c r="K24" s="35"/>
      <c r="L24" s="35"/>
      <c r="M24" s="36"/>
      <c r="N24" s="37">
        <f t="shared" si="2"/>
        <v>0</v>
      </c>
      <c r="O24" s="31"/>
      <c r="P24" s="38"/>
      <c r="Q24" s="38"/>
      <c r="R24" s="38"/>
      <c r="S24" s="39"/>
      <c r="T24" s="32">
        <v>1</v>
      </c>
      <c r="U24" s="32"/>
      <c r="V24" s="40">
        <f>'άνευ ειδικότητας'!T24+'άνευ ειδικότητας'!U24</f>
        <v>1</v>
      </c>
      <c r="W24" s="41" t="s">
        <v>36</v>
      </c>
      <c r="X24" s="42">
        <f t="shared" si="3"/>
        <v>1</v>
      </c>
    </row>
    <row r="25" spans="1:24" ht="21.75" customHeight="1">
      <c r="A25" s="25" t="s">
        <v>58</v>
      </c>
      <c r="B25" s="26"/>
      <c r="C25" s="27"/>
      <c r="D25" s="28">
        <v>0</v>
      </c>
      <c r="E25" s="29">
        <f t="shared" si="0"/>
        <v>0</v>
      </c>
      <c r="F25" s="30">
        <v>1989</v>
      </c>
      <c r="G25" s="31"/>
      <c r="H25" s="32"/>
      <c r="I25" s="33">
        <f t="shared" si="1"/>
        <v>0</v>
      </c>
      <c r="J25" s="34"/>
      <c r="K25" s="35"/>
      <c r="L25" s="35"/>
      <c r="M25" s="36"/>
      <c r="N25" s="37">
        <f t="shared" si="2"/>
        <v>0</v>
      </c>
      <c r="O25" s="31"/>
      <c r="P25" s="38"/>
      <c r="Q25" s="38"/>
      <c r="R25" s="38"/>
      <c r="S25" s="39"/>
      <c r="T25" s="32">
        <v>1</v>
      </c>
      <c r="U25" s="32"/>
      <c r="V25" s="40">
        <f>'άνευ ειδικότητας'!T25+'άνευ ειδικότητας'!U25</f>
        <v>1</v>
      </c>
      <c r="W25" s="41" t="s">
        <v>36</v>
      </c>
      <c r="X25" s="42">
        <f t="shared" si="3"/>
        <v>1</v>
      </c>
    </row>
    <row r="26" spans="1:24" ht="21.75" customHeight="1">
      <c r="A26" s="25" t="s">
        <v>59</v>
      </c>
      <c r="B26" s="26"/>
      <c r="C26" s="27"/>
      <c r="D26" s="28">
        <v>0</v>
      </c>
      <c r="E26" s="29">
        <f t="shared" si="0"/>
        <v>0</v>
      </c>
      <c r="F26" s="30">
        <v>2013</v>
      </c>
      <c r="G26" s="31"/>
      <c r="H26" s="32"/>
      <c r="I26" s="33">
        <f t="shared" si="1"/>
        <v>0</v>
      </c>
      <c r="J26" s="34"/>
      <c r="K26" s="35"/>
      <c r="L26" s="35"/>
      <c r="M26" s="36"/>
      <c r="N26" s="37">
        <f t="shared" si="2"/>
        <v>0</v>
      </c>
      <c r="O26" s="31"/>
      <c r="P26" s="38"/>
      <c r="Q26" s="38"/>
      <c r="R26" s="38"/>
      <c r="S26" s="39"/>
      <c r="T26" s="32">
        <v>1</v>
      </c>
      <c r="U26" s="32"/>
      <c r="V26" s="40">
        <f>'άνευ ειδικότητας'!T26+'άνευ ειδικότητας'!U26</f>
        <v>1</v>
      </c>
      <c r="W26" s="41" t="s">
        <v>36</v>
      </c>
      <c r="X26" s="42">
        <f t="shared" si="3"/>
        <v>1</v>
      </c>
    </row>
    <row r="27" spans="1:24" ht="21.75" customHeight="1">
      <c r="A27" s="25" t="s">
        <v>60</v>
      </c>
      <c r="B27" s="26"/>
      <c r="C27" s="27"/>
      <c r="D27" s="28">
        <v>0</v>
      </c>
      <c r="E27" s="29">
        <f t="shared" si="0"/>
        <v>0</v>
      </c>
      <c r="F27" s="30">
        <v>2012</v>
      </c>
      <c r="G27" s="31"/>
      <c r="H27" s="32"/>
      <c r="I27" s="33">
        <f t="shared" si="1"/>
        <v>0</v>
      </c>
      <c r="J27" s="34"/>
      <c r="K27" s="35"/>
      <c r="L27" s="35"/>
      <c r="M27" s="36"/>
      <c r="N27" s="37">
        <f t="shared" si="2"/>
        <v>0</v>
      </c>
      <c r="O27" s="31"/>
      <c r="P27" s="38"/>
      <c r="Q27" s="38"/>
      <c r="R27" s="38"/>
      <c r="S27" s="39"/>
      <c r="T27" s="32">
        <v>1</v>
      </c>
      <c r="U27" s="32"/>
      <c r="V27" s="40">
        <f>'άνευ ειδικότητας'!T27+'άνευ ειδικότητας'!U27</f>
        <v>1</v>
      </c>
      <c r="W27" s="41" t="s">
        <v>36</v>
      </c>
      <c r="X27" s="42">
        <f t="shared" si="3"/>
        <v>1</v>
      </c>
    </row>
    <row r="28" spans="1:24" ht="21.75" customHeight="1">
      <c r="A28" s="25" t="s">
        <v>61</v>
      </c>
      <c r="B28" s="26"/>
      <c r="C28" s="27"/>
      <c r="D28" s="28">
        <v>0</v>
      </c>
      <c r="E28" s="29">
        <f t="shared" si="0"/>
        <v>0</v>
      </c>
      <c r="F28" s="30">
        <v>2015</v>
      </c>
      <c r="G28" s="31"/>
      <c r="H28" s="32"/>
      <c r="I28" s="33">
        <f t="shared" si="1"/>
        <v>0</v>
      </c>
      <c r="J28" s="34"/>
      <c r="K28" s="35"/>
      <c r="L28" s="35"/>
      <c r="M28" s="36"/>
      <c r="N28" s="37">
        <f t="shared" si="2"/>
        <v>0</v>
      </c>
      <c r="O28" s="31"/>
      <c r="P28" s="38"/>
      <c r="Q28" s="38"/>
      <c r="R28" s="38"/>
      <c r="S28" s="39"/>
      <c r="T28" s="32">
        <v>1</v>
      </c>
      <c r="U28" s="32"/>
      <c r="V28" s="40">
        <f>'άνευ ειδικότητας'!T28+'άνευ ειδικότητας'!U28</f>
        <v>1</v>
      </c>
      <c r="W28" s="41" t="s">
        <v>36</v>
      </c>
      <c r="X28" s="42">
        <f t="shared" si="3"/>
        <v>1</v>
      </c>
    </row>
    <row r="29" spans="1:24" ht="21.75" customHeight="1">
      <c r="A29" s="25" t="s">
        <v>62</v>
      </c>
      <c r="B29" s="43"/>
      <c r="C29" s="27"/>
      <c r="D29" s="28">
        <v>0</v>
      </c>
      <c r="E29" s="29">
        <f t="shared" si="0"/>
        <v>0</v>
      </c>
      <c r="F29" s="30">
        <v>2013</v>
      </c>
      <c r="G29" s="31"/>
      <c r="H29" s="32"/>
      <c r="I29" s="33">
        <f t="shared" si="1"/>
        <v>0</v>
      </c>
      <c r="J29" s="34"/>
      <c r="K29" s="35"/>
      <c r="L29" s="35"/>
      <c r="M29" s="36"/>
      <c r="N29" s="37">
        <f t="shared" si="2"/>
        <v>0</v>
      </c>
      <c r="O29" s="31"/>
      <c r="P29" s="38"/>
      <c r="Q29" s="38"/>
      <c r="R29" s="38"/>
      <c r="S29" s="39"/>
      <c r="T29" s="32">
        <v>1</v>
      </c>
      <c r="U29" s="32"/>
      <c r="V29" s="40">
        <f>'άνευ ειδικότητας'!T29+'άνευ ειδικότητας'!U29</f>
        <v>1</v>
      </c>
      <c r="W29" s="41" t="s">
        <v>36</v>
      </c>
      <c r="X29" s="42">
        <f t="shared" si="3"/>
        <v>1</v>
      </c>
    </row>
    <row r="30" spans="1:24" ht="21.75" customHeight="1">
      <c r="A30" s="25" t="s">
        <v>63</v>
      </c>
      <c r="B30" s="26"/>
      <c r="C30" s="27"/>
      <c r="D30" s="28">
        <v>0</v>
      </c>
      <c r="E30" s="29">
        <f t="shared" si="0"/>
        <v>0</v>
      </c>
      <c r="F30" s="30">
        <v>2012</v>
      </c>
      <c r="G30" s="31"/>
      <c r="H30" s="32"/>
      <c r="I30" s="33">
        <f t="shared" si="1"/>
        <v>0</v>
      </c>
      <c r="J30" s="34"/>
      <c r="K30" s="35"/>
      <c r="L30" s="35"/>
      <c r="M30" s="36"/>
      <c r="N30" s="37">
        <f t="shared" si="2"/>
        <v>0</v>
      </c>
      <c r="O30" s="31"/>
      <c r="P30" s="38"/>
      <c r="Q30" s="38"/>
      <c r="R30" s="38"/>
      <c r="S30" s="39"/>
      <c r="T30" s="32">
        <v>1</v>
      </c>
      <c r="U30" s="32"/>
      <c r="V30" s="40">
        <f>'άνευ ειδικότητας'!T30+'άνευ ειδικότητας'!U30</f>
        <v>1</v>
      </c>
      <c r="W30" s="41" t="s">
        <v>36</v>
      </c>
      <c r="X30" s="42">
        <f t="shared" si="3"/>
        <v>1</v>
      </c>
    </row>
  </sheetData>
  <sheetProtection selectLockedCells="1" selectUnlockedCells="1"/>
  <mergeCells count="35">
    <mergeCell ref="K9:K11"/>
    <mergeCell ref="L9:L11"/>
    <mergeCell ref="D8:F8"/>
    <mergeCell ref="J8:K8"/>
    <mergeCell ref="L8:M8"/>
    <mergeCell ref="P8:Q8"/>
    <mergeCell ref="N7:N11"/>
    <mergeCell ref="D9:D11"/>
    <mergeCell ref="E9:E11"/>
    <mergeCell ref="F9:F11"/>
    <mergeCell ref="G9:G11"/>
    <mergeCell ref="M9:M11"/>
    <mergeCell ref="O9:O11"/>
    <mergeCell ref="H9:H11"/>
    <mergeCell ref="J9:J11"/>
    <mergeCell ref="W7:W11"/>
    <mergeCell ref="X7:X11"/>
    <mergeCell ref="U8:U11"/>
    <mergeCell ref="P9:P11"/>
    <mergeCell ref="Q9:Q11"/>
    <mergeCell ref="R8:R11"/>
    <mergeCell ref="T8:T11"/>
    <mergeCell ref="O7:R7"/>
    <mergeCell ref="S7:S11"/>
    <mergeCell ref="T7:U7"/>
    <mergeCell ref="V7:V11"/>
    <mergeCell ref="A1:X1"/>
    <mergeCell ref="A2:X2"/>
    <mergeCell ref="A3:X3"/>
    <mergeCell ref="A7:A11"/>
    <mergeCell ref="B7:B11"/>
    <mergeCell ref="C7:C11"/>
    <mergeCell ref="D7:H7"/>
    <mergeCell ref="I7:I11"/>
    <mergeCell ref="J7:M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U34"/>
  <sheetViews>
    <sheetView zoomScale="75" zoomScaleNormal="75" zoomScalePageLayoutView="0" workbookViewId="0" topLeftCell="A1">
      <selection activeCell="F24" sqref="F24"/>
    </sheetView>
  </sheetViews>
  <sheetFormatPr defaultColWidth="9.140625" defaultRowHeight="12.75" customHeight="1"/>
  <cols>
    <col min="1" max="1" width="5.28125" style="1" customWidth="1"/>
    <col min="2" max="2" width="29.00390625" style="2" customWidth="1"/>
    <col min="3" max="3" width="10.8515625" style="1" customWidth="1"/>
    <col min="4" max="6" width="10.8515625" style="3" customWidth="1"/>
    <col min="7" max="7" width="13.421875" style="3" customWidth="1"/>
    <col min="8" max="8" width="14.140625" style="3" customWidth="1"/>
    <col min="9" max="9" width="10.8515625" style="3" customWidth="1"/>
    <col min="10" max="10" width="13.421875" style="4" customWidth="1"/>
    <col min="11" max="11" width="12.421875" style="4" customWidth="1"/>
    <col min="12" max="12" width="13.421875" style="4" customWidth="1"/>
    <col min="13" max="13" width="12.28125" style="4" customWidth="1"/>
    <col min="14" max="14" width="10.8515625" style="5" customWidth="1"/>
    <col min="15" max="15" width="10.8515625" style="3" customWidth="1"/>
    <col min="16" max="16" width="10.8515625" style="1" customWidth="1"/>
    <col min="17" max="17" width="10.8515625" style="3" customWidth="1"/>
    <col min="18" max="18" width="13.140625" style="1" customWidth="1"/>
    <col min="19" max="19" width="10.8515625" style="6" customWidth="1"/>
    <col min="20" max="20" width="10.8515625" style="3" customWidth="1"/>
    <col min="21" max="21" width="13.7109375" style="3" customWidth="1"/>
    <col min="22" max="23" width="10.8515625" style="3" customWidth="1"/>
    <col min="24" max="24" width="14.421875" style="7" customWidth="1"/>
    <col min="25" max="255" width="9.140625" style="3" customWidth="1"/>
  </cols>
  <sheetData>
    <row r="1" spans="1:24" ht="15.75" customHeight="1">
      <c r="A1" s="75" t="s">
        <v>80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50" ht="15.75" customHeight="1">
      <c r="A2" s="75" t="s">
        <v>81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49" ht="15.75" customHeight="1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</row>
    <row r="4" spans="1:253" ht="21.75" customHeight="1">
      <c r="A4"/>
      <c r="B4" s="8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</row>
    <row r="5" spans="1:24" ht="21.75" customHeight="1">
      <c r="A5" s="10"/>
      <c r="B5" s="11" t="s">
        <v>76</v>
      </c>
      <c r="C5" s="12"/>
      <c r="D5" s="13"/>
      <c r="E5" s="13"/>
      <c r="F5" s="13"/>
      <c r="G5" s="13"/>
      <c r="H5" s="13"/>
      <c r="I5" s="13"/>
      <c r="J5" s="14"/>
      <c r="K5" s="14"/>
      <c r="L5" s="14"/>
      <c r="M5" s="14"/>
      <c r="N5" s="15"/>
      <c r="O5" s="13"/>
      <c r="P5" s="12"/>
      <c r="Q5" s="13"/>
      <c r="R5" s="12"/>
      <c r="S5" s="16"/>
      <c r="T5" s="10"/>
      <c r="U5" s="10"/>
      <c r="V5" s="10"/>
      <c r="W5" s="10"/>
      <c r="X5" s="17"/>
    </row>
    <row r="6" spans="1:24" ht="12.75" customHeight="1">
      <c r="A6" s="10"/>
      <c r="B6" s="18"/>
      <c r="C6" s="12"/>
      <c r="D6" s="13"/>
      <c r="E6" s="13"/>
      <c r="F6" s="13"/>
      <c r="G6" s="13"/>
      <c r="H6" s="13"/>
      <c r="I6" s="13"/>
      <c r="J6" s="14"/>
      <c r="K6" s="14"/>
      <c r="L6" s="14"/>
      <c r="M6" s="14"/>
      <c r="N6" s="15"/>
      <c r="O6" s="13"/>
      <c r="P6" s="12"/>
      <c r="Q6" s="13"/>
      <c r="R6" s="12"/>
      <c r="S6" s="16"/>
      <c r="T6" s="10"/>
      <c r="U6" s="10"/>
      <c r="V6" s="10"/>
      <c r="W6" s="10"/>
      <c r="X6" s="17"/>
    </row>
    <row r="7" spans="1:24" s="21" customFormat="1" ht="12.75" customHeight="1">
      <c r="A7" s="77" t="s">
        <v>3</v>
      </c>
      <c r="B7" s="78" t="s">
        <v>4</v>
      </c>
      <c r="C7" s="79" t="s">
        <v>5</v>
      </c>
      <c r="D7" s="65" t="s">
        <v>6</v>
      </c>
      <c r="E7" s="65"/>
      <c r="F7" s="65"/>
      <c r="G7" s="65"/>
      <c r="H7" s="65"/>
      <c r="I7" s="65" t="s">
        <v>7</v>
      </c>
      <c r="J7" s="99" t="s">
        <v>8</v>
      </c>
      <c r="K7" s="99"/>
      <c r="L7" s="99"/>
      <c r="M7" s="99"/>
      <c r="N7" s="105" t="s">
        <v>7</v>
      </c>
      <c r="O7" s="80" t="s">
        <v>9</v>
      </c>
      <c r="P7" s="80"/>
      <c r="Q7" s="80"/>
      <c r="R7" s="80"/>
      <c r="S7" s="104" t="s">
        <v>7</v>
      </c>
      <c r="T7" s="74" t="s">
        <v>10</v>
      </c>
      <c r="U7" s="74"/>
      <c r="V7" s="102" t="s">
        <v>7</v>
      </c>
      <c r="W7" s="74" t="s">
        <v>11</v>
      </c>
      <c r="X7" s="103" t="s">
        <v>12</v>
      </c>
    </row>
    <row r="8" spans="1:24" s="21" customFormat="1" ht="36.75" customHeight="1">
      <c r="A8" s="77"/>
      <c r="B8" s="78"/>
      <c r="C8" s="79"/>
      <c r="D8" s="65" t="s">
        <v>13</v>
      </c>
      <c r="E8" s="65"/>
      <c r="F8" s="65"/>
      <c r="G8" s="23" t="s">
        <v>14</v>
      </c>
      <c r="H8" s="23" t="s">
        <v>15</v>
      </c>
      <c r="I8" s="65"/>
      <c r="J8" s="99" t="s">
        <v>16</v>
      </c>
      <c r="K8" s="99"/>
      <c r="L8" s="99" t="s">
        <v>17</v>
      </c>
      <c r="M8" s="99"/>
      <c r="N8" s="105"/>
      <c r="O8" s="20"/>
      <c r="P8" s="80" t="s">
        <v>18</v>
      </c>
      <c r="Q8" s="80"/>
      <c r="R8" s="80" t="s">
        <v>19</v>
      </c>
      <c r="S8" s="104"/>
      <c r="T8" s="74" t="s">
        <v>20</v>
      </c>
      <c r="U8" s="74" t="s">
        <v>21</v>
      </c>
      <c r="V8" s="102"/>
      <c r="W8" s="74"/>
      <c r="X8" s="103"/>
    </row>
    <row r="9" spans="1:24" s="21" customFormat="1" ht="15.75" customHeight="1">
      <c r="A9" s="77"/>
      <c r="B9" s="78"/>
      <c r="C9" s="79"/>
      <c r="D9" s="65" t="s">
        <v>23</v>
      </c>
      <c r="E9" s="65" t="s">
        <v>24</v>
      </c>
      <c r="F9" s="65" t="s">
        <v>25</v>
      </c>
      <c r="G9" s="65" t="s">
        <v>26</v>
      </c>
      <c r="H9" s="65" t="s">
        <v>27</v>
      </c>
      <c r="I9" s="65"/>
      <c r="J9" s="99" t="s">
        <v>28</v>
      </c>
      <c r="K9" s="99" t="s">
        <v>29</v>
      </c>
      <c r="L9" s="99" t="s">
        <v>30</v>
      </c>
      <c r="M9" s="99" t="s">
        <v>31</v>
      </c>
      <c r="N9" s="105"/>
      <c r="O9" s="80" t="s">
        <v>32</v>
      </c>
      <c r="P9" s="80" t="s">
        <v>33</v>
      </c>
      <c r="Q9" s="80" t="s">
        <v>34</v>
      </c>
      <c r="R9" s="80"/>
      <c r="S9" s="104"/>
      <c r="T9" s="74"/>
      <c r="U9" s="74"/>
      <c r="V9" s="102"/>
      <c r="W9" s="74"/>
      <c r="X9" s="103"/>
    </row>
    <row r="10" spans="1:24" s="21" customFormat="1" ht="41.25" customHeight="1">
      <c r="A10" s="77"/>
      <c r="B10" s="78"/>
      <c r="C10" s="79"/>
      <c r="D10" s="65"/>
      <c r="E10" s="65"/>
      <c r="F10" s="65"/>
      <c r="G10" s="65"/>
      <c r="H10" s="65"/>
      <c r="I10" s="65"/>
      <c r="J10" s="99"/>
      <c r="K10" s="99"/>
      <c r="L10" s="99"/>
      <c r="M10" s="99"/>
      <c r="N10" s="105"/>
      <c r="O10" s="80"/>
      <c r="P10" s="80"/>
      <c r="Q10" s="80"/>
      <c r="R10" s="80"/>
      <c r="S10" s="104"/>
      <c r="T10" s="74"/>
      <c r="U10" s="74"/>
      <c r="V10" s="102"/>
      <c r="W10" s="74"/>
      <c r="X10" s="103"/>
    </row>
    <row r="11" spans="1:24" s="21" customFormat="1" ht="40.5" customHeight="1">
      <c r="A11" s="77"/>
      <c r="B11" s="78"/>
      <c r="C11" s="79"/>
      <c r="D11" s="65"/>
      <c r="E11" s="65"/>
      <c r="F11" s="65"/>
      <c r="G11" s="65"/>
      <c r="H11" s="65"/>
      <c r="I11" s="65"/>
      <c r="J11" s="99"/>
      <c r="K11" s="99"/>
      <c r="L11" s="99"/>
      <c r="M11" s="99"/>
      <c r="N11" s="105"/>
      <c r="O11" s="80"/>
      <c r="P11" s="80"/>
      <c r="Q11" s="80"/>
      <c r="R11" s="80"/>
      <c r="S11" s="104"/>
      <c r="T11" s="74"/>
      <c r="U11" s="74"/>
      <c r="V11" s="102"/>
      <c r="W11" s="74"/>
      <c r="X11" s="103"/>
    </row>
    <row r="12" spans="1:255" ht="20.25" customHeight="1">
      <c r="A12" s="25" t="s">
        <v>35</v>
      </c>
      <c r="B12" s="31"/>
      <c r="C12" s="32"/>
      <c r="D12" s="33" t="e">
        <f>'άνευ προϋπηρεσίας'!#REF!+'άνευ προϋπηρεσίας'!B12+'άνευ προϋπηρεσίας'!C12</f>
        <v>#REF!</v>
      </c>
      <c r="E12" s="34"/>
      <c r="F12" s="35"/>
      <c r="G12" s="35"/>
      <c r="H12" s="36"/>
      <c r="I12" s="37"/>
      <c r="J12" s="31"/>
      <c r="K12" s="38">
        <v>0.6000000000000001</v>
      </c>
      <c r="L12" s="38">
        <v>0.5</v>
      </c>
      <c r="M12" s="38"/>
      <c r="N12" s="39" t="e">
        <f>'γενική κατάταξη'!#REF!+'γενική κατάταξη'!#REF!+'γενική κατάταξη'!#REF!+'γενική κατάταξη'!#REF!</f>
        <v>#REF!</v>
      </c>
      <c r="O12" s="32">
        <v>1</v>
      </c>
      <c r="P12" s="32"/>
      <c r="Q12" s="40">
        <f>'άνευ προϋπηρεσίας'!O12+'άνευ προϋπηρεσίας'!P12</f>
        <v>1</v>
      </c>
      <c r="R12" s="41" t="s">
        <v>36</v>
      </c>
      <c r="S12" s="42" t="e">
        <f>'άνευ προϋπηρεσίας'!D12+'άνευ προϋπηρεσίας'!N12+'άνευ προϋπηρεσίας'!Q12</f>
        <v>#REF!</v>
      </c>
      <c r="X12" s="3"/>
      <c r="IQ12"/>
      <c r="IR12"/>
      <c r="IS12"/>
      <c r="IT12"/>
      <c r="IU12"/>
    </row>
    <row r="13" spans="1:255" ht="20.25" customHeight="1">
      <c r="A13" s="25" t="s">
        <v>37</v>
      </c>
      <c r="B13" s="31"/>
      <c r="C13" s="32"/>
      <c r="D13" s="33" t="e">
        <f>'άνευ προϋπηρεσίας'!#REF!+'άνευ προϋπηρεσίας'!B13+'άνευ προϋπηρεσίας'!C13</f>
        <v>#REF!</v>
      </c>
      <c r="E13" s="34"/>
      <c r="F13" s="35"/>
      <c r="G13" s="35"/>
      <c r="H13" s="36"/>
      <c r="I13" s="37"/>
      <c r="J13" s="31"/>
      <c r="K13" s="38">
        <v>0.6000000000000001</v>
      </c>
      <c r="L13" s="38">
        <v>0.5</v>
      </c>
      <c r="M13" s="38"/>
      <c r="N13" s="39" t="e">
        <f>'γενική κατάταξη'!#REF!+'γενική κατάταξη'!#REF!+'γενική κατάταξη'!#REF!+'γενική κατάταξη'!#REF!</f>
        <v>#REF!</v>
      </c>
      <c r="O13" s="32">
        <v>1</v>
      </c>
      <c r="P13" s="32"/>
      <c r="Q13" s="40">
        <f>'άνευ προϋπηρεσίας'!O13+'άνευ προϋπηρεσίας'!P13</f>
        <v>1</v>
      </c>
      <c r="R13" s="41" t="s">
        <v>36</v>
      </c>
      <c r="S13" s="42" t="e">
        <f>'άνευ προϋπηρεσίας'!D13+'άνευ προϋπηρεσίας'!N13+'άνευ προϋπηρεσίας'!Q13</f>
        <v>#REF!</v>
      </c>
      <c r="X13" s="3"/>
      <c r="IQ13"/>
      <c r="IR13"/>
      <c r="IS13"/>
      <c r="IT13"/>
      <c r="IU13"/>
    </row>
    <row r="14" spans="1:255" ht="20.25" customHeight="1">
      <c r="A14" s="25" t="s">
        <v>38</v>
      </c>
      <c r="B14" s="31"/>
      <c r="C14" s="32"/>
      <c r="D14" s="33" t="e">
        <f>'άνευ προϋπηρεσίας'!#REF!+'άνευ προϋπηρεσίας'!B14+'άνευ προϋπηρεσίας'!C14</f>
        <v>#REF!</v>
      </c>
      <c r="E14" s="34"/>
      <c r="F14" s="35"/>
      <c r="G14" s="35"/>
      <c r="H14" s="36"/>
      <c r="I14" s="37"/>
      <c r="J14" s="31"/>
      <c r="K14" s="38">
        <v>0.6000000000000001</v>
      </c>
      <c r="L14" s="38"/>
      <c r="M14" s="38"/>
      <c r="N14" s="39" t="e">
        <f>'γενική κατάταξη'!#REF!+'γενική κατάταξη'!#REF!+'γενική κατάταξη'!#REF!+'γενική κατάταξη'!#REF!</f>
        <v>#REF!</v>
      </c>
      <c r="O14" s="32">
        <v>1</v>
      </c>
      <c r="P14" s="32"/>
      <c r="Q14" s="40">
        <f>'άνευ προϋπηρεσίας'!O14+'άνευ προϋπηρεσίας'!P14</f>
        <v>1</v>
      </c>
      <c r="R14" s="41" t="s">
        <v>36</v>
      </c>
      <c r="S14" s="42" t="e">
        <f>'άνευ προϋπηρεσίας'!D14+'άνευ προϋπηρεσίας'!N14+'άνευ προϋπηρεσίας'!Q14</f>
        <v>#REF!</v>
      </c>
      <c r="X14" s="3"/>
      <c r="IQ14"/>
      <c r="IR14"/>
      <c r="IS14"/>
      <c r="IT14"/>
      <c r="IU14"/>
    </row>
    <row r="15" spans="1:255" ht="20.25" customHeight="1">
      <c r="A15" s="25" t="s">
        <v>40</v>
      </c>
      <c r="B15" s="31"/>
      <c r="C15" s="32"/>
      <c r="D15" s="33" t="e">
        <f>'άνευ προϋπηρεσίας'!#REF!+'άνευ προϋπηρεσίας'!B15+'άνευ προϋπηρεσίας'!C15</f>
        <v>#REF!</v>
      </c>
      <c r="E15" s="34"/>
      <c r="F15" s="35"/>
      <c r="G15" s="35"/>
      <c r="H15" s="36"/>
      <c r="I15" s="37"/>
      <c r="J15" s="31"/>
      <c r="K15" s="38">
        <v>0.30000000000000004</v>
      </c>
      <c r="L15" s="38"/>
      <c r="M15" s="38"/>
      <c r="N15" s="39" t="e">
        <f>'γενική κατάταξη'!#REF!+'γενική κατάταξη'!#REF!+'γενική κατάταξη'!#REF!+'γενική κατάταξη'!#REF!</f>
        <v>#REF!</v>
      </c>
      <c r="O15" s="32">
        <v>1</v>
      </c>
      <c r="P15" s="32"/>
      <c r="Q15" s="40">
        <f>'άνευ προϋπηρεσίας'!O15+'άνευ προϋπηρεσίας'!P15</f>
        <v>1</v>
      </c>
      <c r="R15" s="41" t="s">
        <v>36</v>
      </c>
      <c r="S15" s="42" t="e">
        <f>'άνευ προϋπηρεσίας'!D15+'άνευ προϋπηρεσίας'!N15+'άνευ προϋπηρεσίας'!Q15</f>
        <v>#REF!</v>
      </c>
      <c r="X15" s="3"/>
      <c r="IQ15"/>
      <c r="IR15"/>
      <c r="IS15"/>
      <c r="IT15"/>
      <c r="IU15"/>
    </row>
    <row r="16" spans="1:255" ht="20.25" customHeight="1">
      <c r="A16" s="25" t="s">
        <v>41</v>
      </c>
      <c r="B16" s="31"/>
      <c r="C16" s="32"/>
      <c r="D16" s="33" t="e">
        <f>'άνευ προϋπηρεσίας'!#REF!+'άνευ προϋπηρεσίας'!B16+'άνευ προϋπηρεσίας'!C16</f>
        <v>#REF!</v>
      </c>
      <c r="E16" s="34"/>
      <c r="F16" s="35"/>
      <c r="G16" s="35"/>
      <c r="H16" s="36"/>
      <c r="I16" s="37"/>
      <c r="J16" s="31"/>
      <c r="K16" s="38">
        <v>0.6000000000000001</v>
      </c>
      <c r="L16" s="38"/>
      <c r="M16" s="38"/>
      <c r="N16" s="39" t="e">
        <f>'γενική κατάταξη'!#REF!+'γενική κατάταξη'!#REF!+'γενική κατάταξη'!#REF!+'γενική κατάταξη'!#REF!</f>
        <v>#REF!</v>
      </c>
      <c r="O16" s="32">
        <v>1</v>
      </c>
      <c r="P16" s="32"/>
      <c r="Q16" s="40">
        <f>'άνευ προϋπηρεσίας'!O16+'άνευ προϋπηρεσίας'!P16</f>
        <v>1</v>
      </c>
      <c r="R16" s="41" t="s">
        <v>36</v>
      </c>
      <c r="S16" s="42" t="e">
        <f>'άνευ προϋπηρεσίας'!D16+'άνευ προϋπηρεσίας'!N16+'άνευ προϋπηρεσίας'!Q16</f>
        <v>#REF!</v>
      </c>
      <c r="X16" s="3"/>
      <c r="IQ16"/>
      <c r="IR16"/>
      <c r="IS16"/>
      <c r="IT16"/>
      <c r="IU16"/>
    </row>
    <row r="17" spans="1:255" ht="20.25" customHeight="1">
      <c r="A17" s="25" t="s">
        <v>42</v>
      </c>
      <c r="B17" s="31"/>
      <c r="C17" s="32"/>
      <c r="D17" s="33" t="e">
        <f>'άνευ προϋπηρεσίας'!#REF!+'άνευ προϋπηρεσίας'!B17+'άνευ προϋπηρεσίας'!C17</f>
        <v>#REF!</v>
      </c>
      <c r="E17" s="34"/>
      <c r="F17" s="35"/>
      <c r="G17" s="35"/>
      <c r="H17" s="36"/>
      <c r="I17" s="37"/>
      <c r="J17" s="31"/>
      <c r="K17" s="38">
        <v>0.6000000000000001</v>
      </c>
      <c r="L17" s="38">
        <v>0.5</v>
      </c>
      <c r="M17" s="38"/>
      <c r="N17" s="39" t="e">
        <f>'γενική κατάταξη'!#REF!+'γενική κατάταξη'!#REF!+'γενική κατάταξη'!#REF!+'γενική κατάταξη'!#REF!</f>
        <v>#REF!</v>
      </c>
      <c r="O17" s="32">
        <v>1</v>
      </c>
      <c r="P17" s="32"/>
      <c r="Q17" s="40">
        <f>'άνευ προϋπηρεσίας'!O17+'άνευ προϋπηρεσίας'!P17</f>
        <v>1</v>
      </c>
      <c r="R17" s="41" t="s">
        <v>36</v>
      </c>
      <c r="S17" s="42" t="e">
        <f>'άνευ προϋπηρεσίας'!D17+'άνευ προϋπηρεσίας'!N17+'άνευ προϋπηρεσίας'!Q17</f>
        <v>#REF!</v>
      </c>
      <c r="X17" s="3"/>
      <c r="IQ17"/>
      <c r="IR17"/>
      <c r="IS17"/>
      <c r="IT17"/>
      <c r="IU17"/>
    </row>
    <row r="18" spans="1:255" ht="20.25" customHeight="1">
      <c r="A18" s="25" t="s">
        <v>43</v>
      </c>
      <c r="B18" s="31"/>
      <c r="C18" s="32"/>
      <c r="D18" s="33" t="e">
        <f>'άνευ προϋπηρεσίας'!#REF!+'άνευ προϋπηρεσίας'!B18+'άνευ προϋπηρεσίας'!C18</f>
        <v>#REF!</v>
      </c>
      <c r="E18" s="34"/>
      <c r="F18" s="35"/>
      <c r="G18" s="35"/>
      <c r="H18" s="36"/>
      <c r="I18" s="37"/>
      <c r="J18" s="31"/>
      <c r="K18" s="38">
        <v>0.6000000000000001</v>
      </c>
      <c r="L18" s="38">
        <v>0.5</v>
      </c>
      <c r="M18" s="38"/>
      <c r="N18" s="39" t="e">
        <f>'γενική κατάταξη'!#REF!+'γενική κατάταξη'!#REF!+'γενική κατάταξη'!#REF!+'γενική κατάταξη'!#REF!</f>
        <v>#REF!</v>
      </c>
      <c r="O18" s="32">
        <v>1</v>
      </c>
      <c r="P18" s="32"/>
      <c r="Q18" s="40">
        <f>'άνευ προϋπηρεσίας'!O18+'άνευ προϋπηρεσίας'!P18</f>
        <v>1</v>
      </c>
      <c r="R18" s="41" t="s">
        <v>36</v>
      </c>
      <c r="S18" s="42" t="e">
        <f>'άνευ προϋπηρεσίας'!D18+'άνευ προϋπηρεσίας'!N18+'άνευ προϋπηρεσίας'!Q18</f>
        <v>#REF!</v>
      </c>
      <c r="X18" s="3"/>
      <c r="IQ18"/>
      <c r="IR18"/>
      <c r="IS18"/>
      <c r="IT18"/>
      <c r="IU18"/>
    </row>
    <row r="19" spans="1:255" ht="20.25" customHeight="1">
      <c r="A19" s="25" t="s">
        <v>50</v>
      </c>
      <c r="B19" s="31"/>
      <c r="C19" s="32"/>
      <c r="D19" s="33" t="e">
        <f>'άνευ προϋπηρεσίας'!#REF!+'άνευ προϋπηρεσίας'!B19+'άνευ προϋπηρεσίας'!C19</f>
        <v>#REF!</v>
      </c>
      <c r="E19" s="34"/>
      <c r="F19" s="35"/>
      <c r="G19" s="35"/>
      <c r="H19" s="36"/>
      <c r="I19" s="37"/>
      <c r="J19" s="31"/>
      <c r="K19" s="38"/>
      <c r="L19" s="38">
        <v>1</v>
      </c>
      <c r="M19" s="38"/>
      <c r="N19" s="39" t="e">
        <f>'γενική κατάταξη'!#REF!+'γενική κατάταξη'!#REF!+'γενική κατάταξη'!#REF!+'γενική κατάταξη'!#REF!</f>
        <v>#REF!</v>
      </c>
      <c r="O19" s="32">
        <v>1</v>
      </c>
      <c r="P19" s="32"/>
      <c r="Q19" s="40">
        <f>'άνευ προϋπηρεσίας'!O19+'άνευ προϋπηρεσίας'!P19</f>
        <v>1</v>
      </c>
      <c r="R19" s="41" t="s">
        <v>36</v>
      </c>
      <c r="S19" s="42" t="e">
        <f>'άνευ προϋπηρεσίας'!D19+'άνευ προϋπηρεσίας'!N19+'άνευ προϋπηρεσίας'!Q19</f>
        <v>#REF!</v>
      </c>
      <c r="X19" s="3"/>
      <c r="IQ19"/>
      <c r="IR19"/>
      <c r="IS19"/>
      <c r="IT19"/>
      <c r="IU19"/>
    </row>
    <row r="20" spans="1:24" ht="20.25" customHeight="1">
      <c r="A20" s="25" t="s">
        <v>51</v>
      </c>
      <c r="B20" s="26"/>
      <c r="C20" s="27"/>
      <c r="D20" s="28"/>
      <c r="E20" s="29"/>
      <c r="F20" s="30"/>
      <c r="G20" s="31"/>
      <c r="H20" s="32"/>
      <c r="I20" s="33">
        <f>'άνευ προϋπηρεσίας'!E20+'άνευ προϋπηρεσίας'!G20+'άνευ προϋπηρεσίας'!H20</f>
        <v>0</v>
      </c>
      <c r="J20" s="34"/>
      <c r="K20" s="35"/>
      <c r="L20" s="35"/>
      <c r="M20" s="36"/>
      <c r="N20" s="37"/>
      <c r="O20" s="31"/>
      <c r="P20" s="38">
        <v>0.6000000000000001</v>
      </c>
      <c r="Q20" s="38">
        <v>0.5</v>
      </c>
      <c r="R20" s="38"/>
      <c r="S20" s="39" t="e">
        <f>'γενική κατάταξη'!#REF!+'γενική κατάταξη'!#REF!+'γενική κατάταξη'!#REF!+'γενική κατάταξη'!#REF!</f>
        <v>#REF!</v>
      </c>
      <c r="T20" s="32">
        <v>1</v>
      </c>
      <c r="U20" s="32"/>
      <c r="V20" s="40">
        <f>'άνευ προϋπηρεσίας'!T20+'άνευ προϋπηρεσίας'!U20</f>
        <v>1</v>
      </c>
      <c r="W20" s="41" t="s">
        <v>36</v>
      </c>
      <c r="X20" s="42" t="e">
        <f>'άνευ προϋπηρεσίας'!I20+'άνευ προϋπηρεσίας'!S20+'άνευ προϋπηρεσίας'!V20</f>
        <v>#REF!</v>
      </c>
    </row>
    <row r="21" spans="1:24" ht="20.25" customHeight="1">
      <c r="A21" s="25" t="s">
        <v>77</v>
      </c>
      <c r="B21" s="26"/>
      <c r="C21" s="27"/>
      <c r="D21" s="28"/>
      <c r="E21" s="29"/>
      <c r="F21" s="30"/>
      <c r="G21" s="31"/>
      <c r="H21" s="32"/>
      <c r="I21" s="33">
        <f>'άνευ προϋπηρεσίας'!E21+'άνευ προϋπηρεσίας'!G21+'άνευ προϋπηρεσίας'!H21</f>
        <v>0</v>
      </c>
      <c r="J21" s="34"/>
      <c r="K21" s="35"/>
      <c r="L21" s="35"/>
      <c r="M21" s="36"/>
      <c r="N21" s="37"/>
      <c r="O21" s="31"/>
      <c r="P21" s="38"/>
      <c r="Q21" s="38"/>
      <c r="R21" s="38"/>
      <c r="S21" s="39"/>
      <c r="T21" s="32">
        <v>1</v>
      </c>
      <c r="U21" s="32"/>
      <c r="V21" s="40">
        <f>'άνευ προϋπηρεσίας'!T21+'άνευ προϋπηρεσίας'!U21</f>
        <v>1</v>
      </c>
      <c r="W21" s="41" t="s">
        <v>36</v>
      </c>
      <c r="X21" s="42">
        <f>'άνευ προϋπηρεσίας'!I21+'άνευ προϋπηρεσίας'!S21+'άνευ προϋπηρεσίας'!V21</f>
        <v>1</v>
      </c>
    </row>
    <row r="22" spans="1:24" ht="20.25" customHeight="1">
      <c r="A22" s="25" t="s">
        <v>52</v>
      </c>
      <c r="B22" s="26"/>
      <c r="C22" s="27"/>
      <c r="D22" s="28"/>
      <c r="E22" s="29"/>
      <c r="F22" s="30"/>
      <c r="G22" s="31"/>
      <c r="H22" s="32"/>
      <c r="I22" s="33">
        <f>'άνευ προϋπηρεσίας'!E22+'άνευ προϋπηρεσίας'!G22+'άνευ προϋπηρεσίας'!H22</f>
        <v>0</v>
      </c>
      <c r="J22" s="34"/>
      <c r="K22" s="35"/>
      <c r="L22" s="35"/>
      <c r="M22" s="36"/>
      <c r="N22" s="37"/>
      <c r="O22" s="31"/>
      <c r="P22" s="38">
        <v>0.6000000000000001</v>
      </c>
      <c r="Q22" s="38"/>
      <c r="R22" s="38"/>
      <c r="S22" s="39" t="e">
        <f>'γενική κατάταξη'!#REF!+'γενική κατάταξη'!#REF!+'γενική κατάταξη'!#REF!+'γενική κατάταξη'!#REF!</f>
        <v>#REF!</v>
      </c>
      <c r="T22" s="32">
        <v>1</v>
      </c>
      <c r="U22" s="32"/>
      <c r="V22" s="40">
        <f>'άνευ προϋπηρεσίας'!T22+'άνευ προϋπηρεσίας'!U22</f>
        <v>1</v>
      </c>
      <c r="W22" s="41" t="s">
        <v>36</v>
      </c>
      <c r="X22" s="42" t="e">
        <f>'άνευ προϋπηρεσίας'!I22+'άνευ προϋπηρεσίας'!S22+'άνευ προϋπηρεσίας'!V22</f>
        <v>#REF!</v>
      </c>
    </row>
    <row r="23" spans="1:24" ht="20.25" customHeight="1">
      <c r="A23" s="25" t="s">
        <v>53</v>
      </c>
      <c r="B23" s="26"/>
      <c r="C23" s="27"/>
      <c r="D23" s="28"/>
      <c r="E23" s="29"/>
      <c r="F23" s="30"/>
      <c r="G23" s="31"/>
      <c r="H23" s="32"/>
      <c r="I23" s="33">
        <f>'άνευ προϋπηρεσίας'!E23+'άνευ προϋπηρεσίας'!G23+'άνευ προϋπηρεσίας'!H23</f>
        <v>0</v>
      </c>
      <c r="J23" s="34"/>
      <c r="K23" s="35"/>
      <c r="L23" s="35"/>
      <c r="M23" s="36"/>
      <c r="N23" s="37"/>
      <c r="O23" s="31"/>
      <c r="P23" s="38">
        <v>0.6000000000000001</v>
      </c>
      <c r="Q23" s="38"/>
      <c r="R23" s="38"/>
      <c r="S23" s="39">
        <f>'γενική κατάταξη'!Q16+'γενική κατάταξη'!R16+'γενική κατάταξη'!S16+'γενική κατάταξη'!T16</f>
        <v>0</v>
      </c>
      <c r="T23" s="32">
        <v>1</v>
      </c>
      <c r="U23" s="32"/>
      <c r="V23" s="40">
        <f>'άνευ προϋπηρεσίας'!T23+'άνευ προϋπηρεσίας'!U23</f>
        <v>1</v>
      </c>
      <c r="W23" s="41" t="s">
        <v>36</v>
      </c>
      <c r="X23" s="42">
        <f>'άνευ προϋπηρεσίας'!I23+'άνευ προϋπηρεσίας'!S23+'άνευ προϋπηρεσίας'!V23</f>
        <v>1</v>
      </c>
    </row>
    <row r="24" spans="1:24" ht="20.25" customHeight="1">
      <c r="A24" s="25" t="s">
        <v>54</v>
      </c>
      <c r="B24" s="26"/>
      <c r="C24" s="27"/>
      <c r="D24" s="28"/>
      <c r="E24" s="29"/>
      <c r="F24" s="30"/>
      <c r="G24" s="31"/>
      <c r="H24" s="32"/>
      <c r="I24" s="33">
        <f>'άνευ προϋπηρεσίας'!E24+'άνευ προϋπηρεσίας'!G24+'άνευ προϋπηρεσίας'!H24</f>
        <v>0</v>
      </c>
      <c r="J24" s="34"/>
      <c r="K24" s="35"/>
      <c r="L24" s="35"/>
      <c r="M24" s="36"/>
      <c r="N24" s="37"/>
      <c r="O24" s="31"/>
      <c r="P24" s="38">
        <v>0.6000000000000001</v>
      </c>
      <c r="Q24" s="38"/>
      <c r="R24" s="38"/>
      <c r="S24" s="39" t="e">
        <f>'γενική κατάταξη'!#REF!+'γενική κατάταξη'!#REF!+'γενική κατάταξη'!#REF!+'γενική κατάταξη'!#REF!</f>
        <v>#REF!</v>
      </c>
      <c r="T24" s="32">
        <v>1</v>
      </c>
      <c r="U24" s="32"/>
      <c r="V24" s="40">
        <f>'άνευ προϋπηρεσίας'!T24+'άνευ προϋπηρεσίας'!U24</f>
        <v>1</v>
      </c>
      <c r="W24" s="41" t="s">
        <v>36</v>
      </c>
      <c r="X24" s="42" t="e">
        <f>'άνευ προϋπηρεσίας'!I24+'άνευ προϋπηρεσίας'!S24+'άνευ προϋπηρεσίας'!V24</f>
        <v>#REF!</v>
      </c>
    </row>
    <row r="25" spans="1:24" ht="20.25" customHeight="1">
      <c r="A25" s="25" t="s">
        <v>57</v>
      </c>
      <c r="B25" s="26"/>
      <c r="C25" s="27"/>
      <c r="D25" s="28"/>
      <c r="E25" s="29"/>
      <c r="F25" s="30"/>
      <c r="G25" s="31"/>
      <c r="H25" s="32"/>
      <c r="I25" s="33">
        <f>'άνευ προϋπηρεσίας'!E25+'άνευ προϋπηρεσίας'!G25+'άνευ προϋπηρεσίας'!H25</f>
        <v>0</v>
      </c>
      <c r="J25" s="34"/>
      <c r="K25" s="35"/>
      <c r="L25" s="35"/>
      <c r="M25" s="36"/>
      <c r="N25" s="37"/>
      <c r="O25" s="31"/>
      <c r="P25" s="38"/>
      <c r="Q25" s="38"/>
      <c r="R25" s="38"/>
      <c r="S25" s="39"/>
      <c r="T25" s="32">
        <v>1</v>
      </c>
      <c r="U25" s="32"/>
      <c r="V25" s="40">
        <f>'άνευ προϋπηρεσίας'!T25+'άνευ προϋπηρεσίας'!U25</f>
        <v>1</v>
      </c>
      <c r="W25" s="41" t="s">
        <v>36</v>
      </c>
      <c r="X25" s="42">
        <f>'άνευ προϋπηρεσίας'!I25+'άνευ προϋπηρεσίας'!S25+'άνευ προϋπηρεσίας'!V25</f>
        <v>1</v>
      </c>
    </row>
    <row r="26" spans="1:24" ht="20.25" customHeight="1">
      <c r="A26" s="25" t="s">
        <v>58</v>
      </c>
      <c r="B26" s="26"/>
      <c r="C26" s="27"/>
      <c r="D26" s="28"/>
      <c r="E26" s="29"/>
      <c r="F26" s="30"/>
      <c r="G26" s="31"/>
      <c r="H26" s="32"/>
      <c r="I26" s="33">
        <f>'άνευ προϋπηρεσίας'!E26+'άνευ προϋπηρεσίας'!G26+'άνευ προϋπηρεσίας'!H26</f>
        <v>0</v>
      </c>
      <c r="J26" s="34"/>
      <c r="K26" s="35"/>
      <c r="L26" s="35"/>
      <c r="M26" s="36"/>
      <c r="N26" s="37"/>
      <c r="O26" s="31"/>
      <c r="P26" s="38">
        <v>0.6000000000000001</v>
      </c>
      <c r="Q26" s="38"/>
      <c r="R26" s="38"/>
      <c r="S26" s="39" t="e">
        <f>'γενική κατάταξη'!#REF!+'γενική κατάταξη'!#REF!+'γενική κατάταξη'!#REF!+'γενική κατάταξη'!#REF!</f>
        <v>#REF!</v>
      </c>
      <c r="T26" s="32">
        <v>1</v>
      </c>
      <c r="U26" s="32"/>
      <c r="V26" s="40">
        <f>'άνευ προϋπηρεσίας'!T26+'άνευ προϋπηρεσίας'!U26</f>
        <v>1</v>
      </c>
      <c r="W26" s="41" t="s">
        <v>36</v>
      </c>
      <c r="X26" s="42" t="e">
        <f>'άνευ προϋπηρεσίας'!I26+'άνευ προϋπηρεσίας'!S26+'άνευ προϋπηρεσίας'!V26</f>
        <v>#REF!</v>
      </c>
    </row>
    <row r="27" spans="1:24" ht="20.25" customHeight="1">
      <c r="A27" s="25" t="s">
        <v>59</v>
      </c>
      <c r="B27" s="26"/>
      <c r="C27" s="27"/>
      <c r="D27" s="28"/>
      <c r="E27" s="29"/>
      <c r="F27" s="30"/>
      <c r="G27" s="31"/>
      <c r="H27" s="32"/>
      <c r="I27" s="33">
        <f>'άνευ προϋπηρεσίας'!E27+'άνευ προϋπηρεσίας'!G27+'άνευ προϋπηρεσίας'!H27</f>
        <v>0</v>
      </c>
      <c r="J27" s="34"/>
      <c r="K27" s="35"/>
      <c r="L27" s="35"/>
      <c r="M27" s="36"/>
      <c r="N27" s="37"/>
      <c r="O27" s="31"/>
      <c r="P27" s="38">
        <v>0.30000000000000004</v>
      </c>
      <c r="Q27" s="38"/>
      <c r="R27" s="38"/>
      <c r="S27" s="39" t="e">
        <f>'γενική κατάταξη'!#REF!+'γενική κατάταξη'!#REF!+'γενική κατάταξη'!#REF!+'γενική κατάταξη'!#REF!</f>
        <v>#REF!</v>
      </c>
      <c r="T27" s="32">
        <v>1</v>
      </c>
      <c r="U27" s="32"/>
      <c r="V27" s="40">
        <f>'άνευ προϋπηρεσίας'!T27+'άνευ προϋπηρεσίας'!U27</f>
        <v>1</v>
      </c>
      <c r="W27" s="41" t="s">
        <v>39</v>
      </c>
      <c r="X27" s="42" t="e">
        <f>'άνευ προϋπηρεσίας'!I27+'άνευ προϋπηρεσίας'!S27+'άνευ προϋπηρεσίας'!V27</f>
        <v>#REF!</v>
      </c>
    </row>
    <row r="28" spans="1:24" ht="20.25" customHeight="1">
      <c r="A28" s="25" t="s">
        <v>60</v>
      </c>
      <c r="B28" s="26"/>
      <c r="C28" s="27"/>
      <c r="D28" s="28"/>
      <c r="E28" s="29"/>
      <c r="F28" s="30"/>
      <c r="G28" s="31"/>
      <c r="H28" s="32"/>
      <c r="I28" s="33">
        <f>'άνευ προϋπηρεσίας'!E28+'άνευ προϋπηρεσίας'!G28+'άνευ προϋπηρεσίας'!H28</f>
        <v>0</v>
      </c>
      <c r="J28" s="34"/>
      <c r="K28" s="35"/>
      <c r="L28" s="35"/>
      <c r="M28" s="36"/>
      <c r="N28" s="37"/>
      <c r="O28" s="31"/>
      <c r="P28" s="38"/>
      <c r="Q28" s="38"/>
      <c r="R28" s="38"/>
      <c r="S28" s="39"/>
      <c r="T28" s="32">
        <v>1</v>
      </c>
      <c r="U28" s="32"/>
      <c r="V28" s="40">
        <f>'άνευ προϋπηρεσίας'!T28+'άνευ προϋπηρεσίας'!U28</f>
        <v>1</v>
      </c>
      <c r="W28" s="41" t="s">
        <v>36</v>
      </c>
      <c r="X28" s="42">
        <f>'άνευ προϋπηρεσίας'!I28+'άνευ προϋπηρεσίας'!S28+'άνευ προϋπηρεσίας'!V28</f>
        <v>1</v>
      </c>
    </row>
    <row r="29" spans="1:24" ht="20.25" customHeight="1">
      <c r="A29" s="25" t="s">
        <v>61</v>
      </c>
      <c r="B29" s="26"/>
      <c r="C29" s="27"/>
      <c r="D29" s="28"/>
      <c r="E29" s="29"/>
      <c r="F29" s="30"/>
      <c r="G29" s="31"/>
      <c r="H29" s="32"/>
      <c r="I29" s="33">
        <f>'άνευ προϋπηρεσίας'!E29+'άνευ προϋπηρεσίας'!G29+'άνευ προϋπηρεσίας'!H29</f>
        <v>0</v>
      </c>
      <c r="J29" s="34"/>
      <c r="K29" s="35"/>
      <c r="L29" s="35"/>
      <c r="M29" s="36"/>
      <c r="N29" s="37"/>
      <c r="O29" s="31"/>
      <c r="P29" s="38"/>
      <c r="Q29" s="38"/>
      <c r="R29" s="38"/>
      <c r="S29" s="39"/>
      <c r="T29" s="32">
        <v>1</v>
      </c>
      <c r="U29" s="32"/>
      <c r="V29" s="40">
        <f>'άνευ προϋπηρεσίας'!T29+'άνευ προϋπηρεσίας'!U29</f>
        <v>1</v>
      </c>
      <c r="W29" s="41" t="s">
        <v>36</v>
      </c>
      <c r="X29" s="42">
        <f>'άνευ προϋπηρεσίας'!I29+'άνευ προϋπηρεσίας'!S29+'άνευ προϋπηρεσίας'!V29</f>
        <v>1</v>
      </c>
    </row>
    <row r="30" spans="1:24" ht="20.25" customHeight="1">
      <c r="A30" s="25" t="s">
        <v>62</v>
      </c>
      <c r="B30" s="26"/>
      <c r="C30" s="27"/>
      <c r="D30" s="28"/>
      <c r="E30" s="29"/>
      <c r="F30" s="30"/>
      <c r="G30" s="31"/>
      <c r="H30" s="32"/>
      <c r="I30" s="33">
        <f>'άνευ προϋπηρεσίας'!E30+'άνευ προϋπηρεσίας'!G30+'άνευ προϋπηρεσίας'!H30</f>
        <v>0</v>
      </c>
      <c r="J30" s="34"/>
      <c r="K30" s="35"/>
      <c r="L30" s="35"/>
      <c r="M30" s="36"/>
      <c r="N30" s="37"/>
      <c r="O30" s="31"/>
      <c r="P30" s="38">
        <v>0.6000000000000001</v>
      </c>
      <c r="Q30" s="38"/>
      <c r="R30" s="38"/>
      <c r="S30" s="39" t="e">
        <f>'γενική κατάταξη'!#REF!+'γενική κατάταξη'!#REF!+'γενική κατάταξη'!#REF!+'γενική κατάταξη'!#REF!</f>
        <v>#REF!</v>
      </c>
      <c r="T30" s="32">
        <v>1</v>
      </c>
      <c r="U30" s="32"/>
      <c r="V30" s="40">
        <f>'άνευ προϋπηρεσίας'!T30+'άνευ προϋπηρεσίας'!U30</f>
        <v>1</v>
      </c>
      <c r="W30" s="41" t="s">
        <v>36</v>
      </c>
      <c r="X30" s="42" t="e">
        <f>'άνευ προϋπηρεσίας'!I30+'άνευ προϋπηρεσίας'!S30+'άνευ προϋπηρεσίας'!V30</f>
        <v>#REF!</v>
      </c>
    </row>
    <row r="31" spans="1:24" ht="20.25" customHeight="1">
      <c r="A31" s="25" t="s">
        <v>63</v>
      </c>
      <c r="B31" s="26"/>
      <c r="C31" s="27"/>
      <c r="D31" s="28"/>
      <c r="E31" s="29"/>
      <c r="F31" s="30"/>
      <c r="G31" s="31"/>
      <c r="H31" s="32"/>
      <c r="I31" s="33">
        <f>'άνευ προϋπηρεσίας'!E31+'άνευ προϋπηρεσίας'!G31+'άνευ προϋπηρεσίας'!H31</f>
        <v>0</v>
      </c>
      <c r="J31" s="34"/>
      <c r="K31" s="35"/>
      <c r="L31" s="35"/>
      <c r="M31" s="36"/>
      <c r="N31" s="37"/>
      <c r="O31" s="31"/>
      <c r="P31" s="38">
        <v>0.6000000000000001</v>
      </c>
      <c r="Q31" s="38"/>
      <c r="R31" s="38"/>
      <c r="S31" s="39" t="e">
        <f>'γενική κατάταξη'!#REF!+'γενική κατάταξη'!#REF!+'γενική κατάταξη'!#REF!+'γενική κατάταξη'!#REF!</f>
        <v>#REF!</v>
      </c>
      <c r="T31" s="32">
        <v>1</v>
      </c>
      <c r="U31" s="32"/>
      <c r="V31" s="40">
        <f>'άνευ προϋπηρεσίας'!T31+'άνευ προϋπηρεσίας'!U31</f>
        <v>1</v>
      </c>
      <c r="W31" s="41" t="s">
        <v>36</v>
      </c>
      <c r="X31" s="42" t="e">
        <f>'άνευ προϋπηρεσίας'!I31+'άνευ προϋπηρεσίας'!S31+'άνευ προϋπηρεσίας'!V31</f>
        <v>#REF!</v>
      </c>
    </row>
    <row r="32" spans="1:24" ht="20.25" customHeight="1">
      <c r="A32" s="25" t="s">
        <v>64</v>
      </c>
      <c r="B32" s="26"/>
      <c r="C32" s="27"/>
      <c r="D32" s="28"/>
      <c r="E32" s="29"/>
      <c r="F32" s="30"/>
      <c r="G32" s="31"/>
      <c r="H32" s="32"/>
      <c r="I32" s="33">
        <f>'άνευ προϋπηρεσίας'!E32+'άνευ προϋπηρεσίας'!G32+'άνευ προϋπηρεσίας'!H32</f>
        <v>0</v>
      </c>
      <c r="J32" s="34"/>
      <c r="K32" s="35"/>
      <c r="L32" s="35"/>
      <c r="M32" s="36"/>
      <c r="N32" s="37"/>
      <c r="O32" s="31"/>
      <c r="P32" s="38">
        <v>0.6000000000000001</v>
      </c>
      <c r="Q32" s="38"/>
      <c r="R32" s="38"/>
      <c r="S32" s="39" t="e">
        <f>'γενική κατάταξη'!#REF!+'γενική κατάταξη'!#REF!+'γενική κατάταξη'!#REF!+'γενική κατάταξη'!#REF!</f>
        <v>#REF!</v>
      </c>
      <c r="T32" s="32">
        <v>1</v>
      </c>
      <c r="U32" s="32"/>
      <c r="V32" s="40">
        <f>'άνευ προϋπηρεσίας'!T32+'άνευ προϋπηρεσίας'!U32</f>
        <v>1</v>
      </c>
      <c r="W32" s="41" t="s">
        <v>36</v>
      </c>
      <c r="X32" s="42" t="e">
        <f>'άνευ προϋπηρεσίας'!I32+'άνευ προϋπηρεσίας'!S32+'άνευ προϋπηρεσίας'!V32</f>
        <v>#REF!</v>
      </c>
    </row>
    <row r="33" spans="1:24" ht="20.25" customHeight="1">
      <c r="A33" s="25" t="s">
        <v>78</v>
      </c>
      <c r="B33" s="26"/>
      <c r="C33" s="27"/>
      <c r="D33" s="28"/>
      <c r="E33" s="29"/>
      <c r="F33" s="30"/>
      <c r="G33" s="31"/>
      <c r="H33" s="32"/>
      <c r="I33" s="33">
        <f>'άνευ προϋπηρεσίας'!E33+'άνευ προϋπηρεσίας'!G33+'άνευ προϋπηρεσίας'!H33</f>
        <v>0</v>
      </c>
      <c r="J33" s="34"/>
      <c r="K33" s="35"/>
      <c r="L33" s="35"/>
      <c r="M33" s="36"/>
      <c r="N33" s="37"/>
      <c r="O33" s="31"/>
      <c r="P33" s="38">
        <v>0.6000000000000001</v>
      </c>
      <c r="Q33" s="38"/>
      <c r="R33" s="38"/>
      <c r="S33" s="39" t="e">
        <f>'γενική κατάταξη'!#REF!+'γενική κατάταξη'!#REF!+'γενική κατάταξη'!#REF!+'γενική κατάταξη'!#REF!</f>
        <v>#REF!</v>
      </c>
      <c r="T33" s="32">
        <v>1</v>
      </c>
      <c r="U33" s="32"/>
      <c r="V33" s="40">
        <f>'άνευ προϋπηρεσίας'!T33+'άνευ προϋπηρεσίας'!U33</f>
        <v>1</v>
      </c>
      <c r="W33" s="41" t="s">
        <v>36</v>
      </c>
      <c r="X33" s="42" t="e">
        <f>'άνευ προϋπηρεσίας'!I33+'άνευ προϋπηρεσίας'!S33+'άνευ προϋπηρεσίας'!V33</f>
        <v>#REF!</v>
      </c>
    </row>
    <row r="34" spans="1:24" ht="21.75" customHeight="1">
      <c r="A34" s="25" t="s">
        <v>79</v>
      </c>
      <c r="B34" s="26"/>
      <c r="C34" s="27"/>
      <c r="D34" s="28"/>
      <c r="E34" s="29"/>
      <c r="F34" s="30"/>
      <c r="G34" s="31"/>
      <c r="H34" s="32"/>
      <c r="I34" s="33">
        <f>'άνευ προϋπηρεσίας'!E34+'άνευ προϋπηρεσίας'!G34+'άνευ προϋπηρεσίας'!H34</f>
        <v>0</v>
      </c>
      <c r="J34" s="34"/>
      <c r="K34" s="35"/>
      <c r="L34" s="35"/>
      <c r="M34" s="36"/>
      <c r="N34" s="37"/>
      <c r="O34" s="31"/>
      <c r="P34" s="38">
        <v>0.6000000000000001</v>
      </c>
      <c r="Q34" s="38"/>
      <c r="R34" s="38"/>
      <c r="S34" s="39" t="e">
        <f>'γενική κατάταξη'!#REF!+'γενική κατάταξη'!#REF!+'γενική κατάταξη'!#REF!+'γενική κατάταξη'!#REF!</f>
        <v>#REF!</v>
      </c>
      <c r="T34" s="32">
        <v>1</v>
      </c>
      <c r="U34" s="32"/>
      <c r="V34" s="40">
        <f>'άνευ προϋπηρεσίας'!T34+'άνευ προϋπηρεσίας'!U34</f>
        <v>1</v>
      </c>
      <c r="W34" s="41" t="s">
        <v>36</v>
      </c>
      <c r="X34" s="42" t="e">
        <f>'άνευ προϋπηρεσίας'!I34+'άνευ προϋπηρεσίας'!S34+'άνευ προϋπηρεσίας'!V34</f>
        <v>#REF!</v>
      </c>
    </row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5">
    <mergeCell ref="K9:K11"/>
    <mergeCell ref="L9:L11"/>
    <mergeCell ref="D8:F8"/>
    <mergeCell ref="J8:K8"/>
    <mergeCell ref="L8:M8"/>
    <mergeCell ref="P8:Q8"/>
    <mergeCell ref="N7:N11"/>
    <mergeCell ref="D9:D11"/>
    <mergeCell ref="E9:E11"/>
    <mergeCell ref="F9:F11"/>
    <mergeCell ref="G9:G11"/>
    <mergeCell ref="M9:M11"/>
    <mergeCell ref="O9:O11"/>
    <mergeCell ref="H9:H11"/>
    <mergeCell ref="J9:J11"/>
    <mergeCell ref="W7:W11"/>
    <mergeCell ref="X7:X11"/>
    <mergeCell ref="U8:U11"/>
    <mergeCell ref="P9:P11"/>
    <mergeCell ref="Q9:Q11"/>
    <mergeCell ref="R8:R11"/>
    <mergeCell ref="T8:T11"/>
    <mergeCell ref="O7:R7"/>
    <mergeCell ref="S7:S11"/>
    <mergeCell ref="T7:U7"/>
    <mergeCell ref="V7:V11"/>
    <mergeCell ref="A1:X1"/>
    <mergeCell ref="A2:X2"/>
    <mergeCell ref="A3:X3"/>
    <mergeCell ref="A7:A11"/>
    <mergeCell ref="B7:B11"/>
    <mergeCell ref="C7:C11"/>
    <mergeCell ref="D7:H7"/>
    <mergeCell ref="I7:I11"/>
    <mergeCell ref="J7:M7"/>
  </mergeCells>
  <printOptions/>
  <pageMargins left="0.7479166666666667" right="0.28402777777777777" top="0.9840277777777777" bottom="0.9840277777777777" header="0.5118055555555555" footer="0.5118055555555555"/>
  <pageSetup horizontalDpi="300" verticalDpi="3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4"/>
  <sheetViews>
    <sheetView zoomScale="75" zoomScaleNormal="75" zoomScalePageLayoutView="0" workbookViewId="0" topLeftCell="A7">
      <selection activeCell="N12" sqref="N12"/>
    </sheetView>
  </sheetViews>
  <sheetFormatPr defaultColWidth="9.140625" defaultRowHeight="12.75" customHeight="1"/>
  <cols>
    <col min="1" max="1" width="5.28125" style="1" customWidth="1"/>
    <col min="2" max="2" width="24.7109375" style="3" customWidth="1"/>
    <col min="3" max="3" width="10.28125" style="3" customWidth="1"/>
    <col min="4" max="4" width="8.8515625" style="3" customWidth="1"/>
    <col min="5" max="5" width="10.28125" style="3" customWidth="1"/>
    <col min="6" max="6" width="8.7109375" style="3" customWidth="1"/>
    <col min="7" max="7" width="14.00390625" style="3" customWidth="1"/>
    <col min="8" max="8" width="13.7109375" style="3" customWidth="1"/>
    <col min="9" max="9" width="10.28125" style="4" customWidth="1"/>
    <col min="10" max="10" width="13.421875" style="4" customWidth="1"/>
    <col min="11" max="11" width="13.140625" style="4" customWidth="1"/>
    <col min="12" max="12" width="12.421875" style="4" customWidth="1"/>
    <col min="13" max="13" width="12.28125" style="5" customWidth="1"/>
    <col min="14" max="14" width="10.28125" style="3" customWidth="1"/>
    <col min="15" max="15" width="11.8515625" style="1" customWidth="1"/>
    <col min="16" max="16" width="10.28125" style="3" customWidth="1"/>
    <col min="17" max="17" width="10.28125" style="1" customWidth="1"/>
    <col min="18" max="18" width="12.8515625" style="6" customWidth="1"/>
    <col min="19" max="19" width="10.28125" style="3" customWidth="1"/>
    <col min="20" max="20" width="12.57421875" style="3" customWidth="1"/>
    <col min="21" max="21" width="13.7109375" style="3" customWidth="1"/>
    <col min="22" max="22" width="10.28125" style="3" customWidth="1"/>
    <col min="23" max="23" width="10.28125" style="7" customWidth="1"/>
    <col min="24" max="24" width="13.140625" style="3" customWidth="1"/>
    <col min="25" max="16384" width="9.140625" style="3" customWidth="1"/>
  </cols>
  <sheetData>
    <row r="1" spans="1:24" ht="15.7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51" ht="15.7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0" ht="15.75" customHeight="1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3" ht="21.75" customHeight="1">
      <c r="A4"/>
      <c r="B4" s="8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</row>
    <row r="5" spans="1:23" ht="21.75" customHeight="1">
      <c r="A5" s="10"/>
      <c r="B5" s="11" t="s">
        <v>44</v>
      </c>
      <c r="C5" s="13"/>
      <c r="D5" s="13"/>
      <c r="E5" s="13"/>
      <c r="F5" s="13"/>
      <c r="G5" s="13"/>
      <c r="H5" s="13"/>
      <c r="I5" s="14"/>
      <c r="J5" s="14"/>
      <c r="K5" s="14"/>
      <c r="L5" s="14"/>
      <c r="M5" s="15"/>
      <c r="N5" s="13"/>
      <c r="O5" s="12"/>
      <c r="P5" s="13"/>
      <c r="Q5" s="12"/>
      <c r="R5" s="16"/>
      <c r="S5" s="10"/>
      <c r="T5" s="10"/>
      <c r="U5" s="10"/>
      <c r="V5" s="10"/>
      <c r="W5" s="17"/>
    </row>
    <row r="6" spans="1:23" ht="21.75" customHeight="1">
      <c r="A6" s="10"/>
      <c r="B6" s="18"/>
      <c r="C6" s="13"/>
      <c r="D6" s="13"/>
      <c r="E6" s="13"/>
      <c r="F6" s="13"/>
      <c r="G6" s="13"/>
      <c r="H6" s="13"/>
      <c r="I6" s="14"/>
      <c r="J6" s="14"/>
      <c r="K6" s="14"/>
      <c r="L6" s="14"/>
      <c r="M6" s="15"/>
      <c r="N6" s="13"/>
      <c r="O6" s="12"/>
      <c r="P6" s="13"/>
      <c r="Q6" s="12"/>
      <c r="R6" s="16"/>
      <c r="S6" s="10"/>
      <c r="T6" s="10"/>
      <c r="U6" s="10"/>
      <c r="V6" s="10"/>
      <c r="W6" s="17"/>
    </row>
    <row r="7" spans="1:24" s="21" customFormat="1" ht="43.5" customHeight="1">
      <c r="A7" s="77" t="s">
        <v>3</v>
      </c>
      <c r="B7" s="78" t="s">
        <v>4</v>
      </c>
      <c r="C7" s="79" t="s">
        <v>5</v>
      </c>
      <c r="D7" s="65" t="s">
        <v>6</v>
      </c>
      <c r="E7" s="65"/>
      <c r="F7" s="65"/>
      <c r="G7" s="65"/>
      <c r="H7" s="65"/>
      <c r="I7" s="65" t="s">
        <v>7</v>
      </c>
      <c r="J7" s="99" t="s">
        <v>8</v>
      </c>
      <c r="K7" s="99"/>
      <c r="L7" s="99"/>
      <c r="M7" s="99"/>
      <c r="N7" s="105" t="s">
        <v>7</v>
      </c>
      <c r="O7" s="80" t="s">
        <v>9</v>
      </c>
      <c r="P7" s="80"/>
      <c r="Q7" s="80"/>
      <c r="R7" s="80"/>
      <c r="S7" s="104" t="s">
        <v>7</v>
      </c>
      <c r="T7" s="74" t="s">
        <v>10</v>
      </c>
      <c r="U7" s="74"/>
      <c r="V7" s="102" t="s">
        <v>7</v>
      </c>
      <c r="W7" s="74" t="s">
        <v>11</v>
      </c>
      <c r="X7" s="103" t="s">
        <v>12</v>
      </c>
    </row>
    <row r="8" spans="1:24" s="21" customFormat="1" ht="27" customHeight="1">
      <c r="A8" s="77"/>
      <c r="B8" s="78"/>
      <c r="C8" s="79"/>
      <c r="D8" s="65" t="s">
        <v>13</v>
      </c>
      <c r="E8" s="65"/>
      <c r="F8" s="65"/>
      <c r="G8" s="23" t="s">
        <v>14</v>
      </c>
      <c r="H8" s="23" t="s">
        <v>15</v>
      </c>
      <c r="I8" s="65"/>
      <c r="J8" s="99" t="s">
        <v>16</v>
      </c>
      <c r="K8" s="99"/>
      <c r="L8" s="99" t="s">
        <v>17</v>
      </c>
      <c r="M8" s="99"/>
      <c r="N8" s="105"/>
      <c r="O8" s="20"/>
      <c r="P8" s="80" t="s">
        <v>18</v>
      </c>
      <c r="Q8" s="80"/>
      <c r="R8" s="80" t="s">
        <v>19</v>
      </c>
      <c r="S8" s="104"/>
      <c r="T8" s="74" t="s">
        <v>20</v>
      </c>
      <c r="U8" s="74" t="s">
        <v>21</v>
      </c>
      <c r="V8" s="102"/>
      <c r="W8" s="74"/>
      <c r="X8" s="103"/>
    </row>
    <row r="9" spans="1:24" s="21" customFormat="1" ht="15.75" customHeight="1">
      <c r="A9" s="77"/>
      <c r="B9" s="78"/>
      <c r="C9" s="79"/>
      <c r="D9" s="65" t="s">
        <v>23</v>
      </c>
      <c r="E9" s="65" t="s">
        <v>24</v>
      </c>
      <c r="F9" s="65" t="s">
        <v>25</v>
      </c>
      <c r="G9" s="65" t="s">
        <v>26</v>
      </c>
      <c r="H9" s="65" t="s">
        <v>27</v>
      </c>
      <c r="I9" s="65"/>
      <c r="J9" s="99" t="s">
        <v>28</v>
      </c>
      <c r="K9" s="99" t="s">
        <v>45</v>
      </c>
      <c r="L9" s="99" t="s">
        <v>30</v>
      </c>
      <c r="M9" s="99" t="s">
        <v>31</v>
      </c>
      <c r="N9" s="105"/>
      <c r="O9" s="80" t="s">
        <v>32</v>
      </c>
      <c r="P9" s="80" t="s">
        <v>33</v>
      </c>
      <c r="Q9" s="80" t="s">
        <v>34</v>
      </c>
      <c r="R9" s="80"/>
      <c r="S9" s="104"/>
      <c r="T9" s="74"/>
      <c r="U9" s="74"/>
      <c r="V9" s="102"/>
      <c r="W9" s="74"/>
      <c r="X9" s="103"/>
    </row>
    <row r="10" spans="1:24" s="21" customFormat="1" ht="41.25" customHeight="1">
      <c r="A10" s="77"/>
      <c r="B10" s="78"/>
      <c r="C10" s="79"/>
      <c r="D10" s="65"/>
      <c r="E10" s="65"/>
      <c r="F10" s="65"/>
      <c r="G10" s="65"/>
      <c r="H10" s="65"/>
      <c r="I10" s="65"/>
      <c r="J10" s="99"/>
      <c r="K10" s="99"/>
      <c r="L10" s="99"/>
      <c r="M10" s="99"/>
      <c r="N10" s="105"/>
      <c r="O10" s="80"/>
      <c r="P10" s="80"/>
      <c r="Q10" s="80"/>
      <c r="R10" s="80"/>
      <c r="S10" s="104"/>
      <c r="T10" s="74"/>
      <c r="U10" s="74"/>
      <c r="V10" s="102"/>
      <c r="W10" s="74"/>
      <c r="X10" s="103"/>
    </row>
    <row r="11" spans="1:24" s="21" customFormat="1" ht="25.5" customHeight="1">
      <c r="A11" s="77"/>
      <c r="B11" s="78"/>
      <c r="C11" s="79"/>
      <c r="D11" s="65"/>
      <c r="E11" s="65"/>
      <c r="F11" s="65"/>
      <c r="G11" s="65"/>
      <c r="H11" s="65"/>
      <c r="I11" s="65"/>
      <c r="J11" s="99"/>
      <c r="K11" s="99"/>
      <c r="L11" s="99"/>
      <c r="M11" s="99"/>
      <c r="N11" s="105"/>
      <c r="O11" s="80"/>
      <c r="P11" s="80"/>
      <c r="Q11" s="80"/>
      <c r="R11" s="80"/>
      <c r="S11" s="104"/>
      <c r="T11" s="74"/>
      <c r="U11" s="74"/>
      <c r="V11" s="102"/>
      <c r="W11" s="74"/>
      <c r="X11" s="103"/>
    </row>
    <row r="12" spans="1:24" ht="20.25" customHeight="1">
      <c r="A12" s="25" t="s">
        <v>35</v>
      </c>
      <c r="B12" s="43" t="s">
        <v>46</v>
      </c>
      <c r="C12" s="27">
        <v>61727</v>
      </c>
      <c r="D12" s="28">
        <v>0</v>
      </c>
      <c r="E12" s="29">
        <f>D12*0.3</f>
        <v>0</v>
      </c>
      <c r="F12" s="30"/>
      <c r="G12" s="31"/>
      <c r="H12" s="32"/>
      <c r="I12" s="33">
        <f>E12+G12+H12</f>
        <v>0</v>
      </c>
      <c r="J12" s="34">
        <v>0</v>
      </c>
      <c r="K12" s="35">
        <f>J12*0.008</f>
        <v>0</v>
      </c>
      <c r="L12" s="35">
        <v>19</v>
      </c>
      <c r="M12" s="36">
        <f>(49+113+108+116+117+115+60+60+110+36+56+27+52+80+75+75+74+56)*0.08/120</f>
        <v>0.9193333333333334</v>
      </c>
      <c r="N12" s="37">
        <f>K12+M12</f>
        <v>0.9193333333333334</v>
      </c>
      <c r="O12" s="31"/>
      <c r="P12" s="38">
        <v>0.6000000000000001</v>
      </c>
      <c r="Q12" s="38"/>
      <c r="R12" s="38"/>
      <c r="S12" s="39" t="e">
        <f>'γενική κατάταξη'!#REF!+'γενική κατάταξη'!#REF!+'γενική κατάταξη'!#REF!+'γενική κατάταξη'!#REF!</f>
        <v>#REF!</v>
      </c>
      <c r="T12" s="32"/>
      <c r="U12" s="32">
        <v>0.5</v>
      </c>
      <c r="V12" s="40" t="e">
        <f>'γενική κατάταξη'!#REF!+'γενική κατάταξη'!#REF!</f>
        <v>#REF!</v>
      </c>
      <c r="W12" s="41" t="s">
        <v>36</v>
      </c>
      <c r="X12" s="42" t="e">
        <f>'γενική κατάταξη'!#REF!+'γενική κατάταξη'!#REF!+'γενική κατάταξη'!#REF!+'γενική κατάταξη'!#REF!</f>
        <v>#REF!</v>
      </c>
    </row>
    <row r="13" spans="1:24" ht="20.25" customHeight="1">
      <c r="A13" s="25" t="s">
        <v>37</v>
      </c>
      <c r="B13" s="26" t="s">
        <v>47</v>
      </c>
      <c r="C13" s="27">
        <v>61719</v>
      </c>
      <c r="D13" s="28">
        <v>0</v>
      </c>
      <c r="E13" s="29">
        <f>D13*0.3</f>
        <v>0</v>
      </c>
      <c r="F13" s="30"/>
      <c r="G13" s="31"/>
      <c r="H13" s="32"/>
      <c r="I13" s="33">
        <f>E13+G13+H13</f>
        <v>0</v>
      </c>
      <c r="J13" s="34"/>
      <c r="K13" s="35"/>
      <c r="L13" s="35">
        <v>45</v>
      </c>
      <c r="M13" s="36">
        <f>(20+52*4+54+52+48+50+52+54+50+95+105+80+95+110+55+105+15+75+80+105+45+70+45+85+30+136+66+40+48+56+36+52+20+34+43+37+37+31+18)*0.08/120</f>
        <v>1.6246666666666667</v>
      </c>
      <c r="N13" s="37">
        <f>K13+M13</f>
        <v>1.6246666666666667</v>
      </c>
      <c r="O13" s="31"/>
      <c r="P13" s="38">
        <v>0.6000000000000001</v>
      </c>
      <c r="Q13" s="38"/>
      <c r="R13" s="38"/>
      <c r="S13" s="39" t="e">
        <f>'γενική κατάταξη'!#REF!+'γενική κατάταξη'!#REF!+'γενική κατάταξη'!#REF!+'γενική κατάταξη'!#REF!</f>
        <v>#REF!</v>
      </c>
      <c r="T13" s="32"/>
      <c r="U13" s="32">
        <v>0.5</v>
      </c>
      <c r="V13" s="40" t="e">
        <f>'γενική κατάταξη'!#REF!+'γενική κατάταξη'!#REF!</f>
        <v>#REF!</v>
      </c>
      <c r="W13" s="41" t="s">
        <v>36</v>
      </c>
      <c r="X13" s="42" t="e">
        <f>'γενική κατάταξη'!#REF!+'γενική κατάταξη'!#REF!+'γενική κατάταξη'!#REF!+'γενική κατάταξη'!#REF!</f>
        <v>#REF!</v>
      </c>
    </row>
    <row r="14" spans="1:24" ht="20.25" customHeight="1">
      <c r="A14" s="25" t="s">
        <v>38</v>
      </c>
      <c r="B14" s="43" t="s">
        <v>48</v>
      </c>
      <c r="C14" s="27">
        <v>61937</v>
      </c>
      <c r="D14" s="28">
        <v>0</v>
      </c>
      <c r="E14" s="29">
        <f>D14*0.3</f>
        <v>0</v>
      </c>
      <c r="F14" s="30"/>
      <c r="G14" s="31"/>
      <c r="H14" s="32"/>
      <c r="I14" s="33">
        <f>E14+G14+H14</f>
        <v>0</v>
      </c>
      <c r="J14" s="34"/>
      <c r="K14" s="35">
        <f>'tae kwon do'!J14*0.08</f>
        <v>0</v>
      </c>
      <c r="L14" s="35"/>
      <c r="M14" s="36"/>
      <c r="N14" s="37">
        <f>K14+M14</f>
        <v>0</v>
      </c>
      <c r="O14" s="31"/>
      <c r="P14" s="38"/>
      <c r="Q14" s="38"/>
      <c r="R14" s="38"/>
      <c r="S14" s="39">
        <f>'tae kwon do'!O14+'tae kwon do'!P14+'tae kwon do'!Q14</f>
        <v>0</v>
      </c>
      <c r="T14" s="32"/>
      <c r="U14" s="32"/>
      <c r="V14" s="40">
        <f>'tae kwon do'!T14+'tae kwon do'!U14</f>
        <v>0</v>
      </c>
      <c r="W14" s="41" t="s">
        <v>36</v>
      </c>
      <c r="X14" s="42">
        <f>'tae kwon do'!I14+'tae kwon do'!N14+'tae kwon do'!S14+'tae kwon do'!V14</f>
        <v>0</v>
      </c>
    </row>
  </sheetData>
  <sheetProtection selectLockedCells="1" selectUnlockedCells="1"/>
  <mergeCells count="35">
    <mergeCell ref="K9:K11"/>
    <mergeCell ref="L9:L11"/>
    <mergeCell ref="D8:F8"/>
    <mergeCell ref="J8:K8"/>
    <mergeCell ref="L8:M8"/>
    <mergeCell ref="P8:Q8"/>
    <mergeCell ref="N7:N11"/>
    <mergeCell ref="D9:D11"/>
    <mergeCell ref="E9:E11"/>
    <mergeCell ref="F9:F11"/>
    <mergeCell ref="G9:G11"/>
    <mergeCell ref="M9:M11"/>
    <mergeCell ref="O9:O11"/>
    <mergeCell ref="H9:H11"/>
    <mergeCell ref="J9:J11"/>
    <mergeCell ref="W7:W11"/>
    <mergeCell ref="X7:X11"/>
    <mergeCell ref="U8:U11"/>
    <mergeCell ref="P9:P11"/>
    <mergeCell ref="Q9:Q11"/>
    <mergeCell ref="R8:R11"/>
    <mergeCell ref="T8:T11"/>
    <mergeCell ref="O7:R7"/>
    <mergeCell ref="S7:S11"/>
    <mergeCell ref="T7:U7"/>
    <mergeCell ref="V7:V11"/>
    <mergeCell ref="A1:X1"/>
    <mergeCell ref="A2:X2"/>
    <mergeCell ref="A3:X3"/>
    <mergeCell ref="A7:A11"/>
    <mergeCell ref="B7:B11"/>
    <mergeCell ref="C7:C11"/>
    <mergeCell ref="D7:H7"/>
    <mergeCell ref="I7:I11"/>
    <mergeCell ref="J7:M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3"/>
  <sheetViews>
    <sheetView zoomScale="75" zoomScaleNormal="75" zoomScalePageLayoutView="0" workbookViewId="0" topLeftCell="A1">
      <selection activeCell="F12" sqref="F12"/>
    </sheetView>
  </sheetViews>
  <sheetFormatPr defaultColWidth="9.140625" defaultRowHeight="12.75" customHeight="1"/>
  <cols>
    <col min="1" max="1" width="5.28125" style="1" customWidth="1"/>
    <col min="2" max="2" width="29.57421875" style="3" customWidth="1"/>
    <col min="3" max="3" width="9.57421875" style="3" customWidth="1"/>
    <col min="4" max="4" width="7.8515625" style="3" customWidth="1"/>
    <col min="5" max="5" width="9.7109375" style="3" customWidth="1"/>
    <col min="6" max="6" width="8.421875" style="3" customWidth="1"/>
    <col min="7" max="7" width="13.00390625" style="3" customWidth="1"/>
    <col min="8" max="8" width="12.8515625" style="3" customWidth="1"/>
    <col min="9" max="9" width="8.7109375" style="4" customWidth="1"/>
    <col min="10" max="10" width="13.140625" style="4" customWidth="1"/>
    <col min="11" max="11" width="13.00390625" style="4" customWidth="1"/>
    <col min="12" max="12" width="12.57421875" style="4" customWidth="1"/>
    <col min="13" max="13" width="12.57421875" style="5" customWidth="1"/>
    <col min="14" max="14" width="9.00390625" style="3" customWidth="1"/>
    <col min="15" max="15" width="12.28125" style="1" customWidth="1"/>
    <col min="16" max="16" width="10.8515625" style="3" customWidth="1"/>
    <col min="17" max="17" width="11.7109375" style="1" customWidth="1"/>
    <col min="18" max="18" width="12.8515625" style="6" customWidth="1"/>
    <col min="19" max="19" width="8.421875" style="3" customWidth="1"/>
    <col min="20" max="20" width="10.8515625" style="3" customWidth="1"/>
    <col min="21" max="21" width="11.8515625" style="3" customWidth="1"/>
    <col min="22" max="22" width="8.140625" style="3" customWidth="1"/>
    <col min="23" max="23" width="9.421875" style="7" customWidth="1"/>
    <col min="24" max="24" width="12.8515625" style="3" customWidth="1"/>
    <col min="25" max="254" width="9.140625" style="3" customWidth="1"/>
  </cols>
  <sheetData>
    <row r="1" spans="1:24" s="3" customFormat="1" ht="14.2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55" ht="14.2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U2" s="3"/>
    </row>
    <row r="3" spans="1:255" ht="14.25" customHeight="1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U3" s="3"/>
    </row>
    <row r="4" spans="1:254" ht="13.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4" s="3" customFormat="1" ht="21.75" customHeight="1">
      <c r="A5" s="10"/>
      <c r="B5" s="11" t="s">
        <v>49</v>
      </c>
      <c r="C5" s="12"/>
      <c r="D5" s="13"/>
      <c r="E5" s="13"/>
      <c r="F5" s="13"/>
      <c r="G5" s="13"/>
      <c r="H5" s="13"/>
      <c r="I5" s="13"/>
      <c r="J5" s="14"/>
      <c r="K5" s="14"/>
      <c r="L5" s="14"/>
      <c r="M5" s="14"/>
      <c r="N5" s="15"/>
      <c r="O5" s="13"/>
      <c r="P5" s="12"/>
      <c r="Q5" s="13"/>
      <c r="R5" s="12"/>
      <c r="S5" s="16"/>
      <c r="T5" s="10"/>
      <c r="U5" s="10"/>
      <c r="V5" s="10"/>
      <c r="W5" s="10"/>
      <c r="X5" s="17"/>
    </row>
    <row r="6" spans="1:24" s="3" customFormat="1" ht="21.75" customHeight="1">
      <c r="A6" s="10"/>
      <c r="B6" s="18"/>
      <c r="C6" s="12"/>
      <c r="D6" s="13"/>
      <c r="E6" s="13"/>
      <c r="F6" s="13"/>
      <c r="G6" s="13"/>
      <c r="H6" s="13"/>
      <c r="I6" s="13"/>
      <c r="J6" s="14"/>
      <c r="K6" s="14"/>
      <c r="L6" s="14"/>
      <c r="M6" s="14"/>
      <c r="N6" s="15"/>
      <c r="O6" s="13"/>
      <c r="P6" s="12"/>
      <c r="Q6" s="13"/>
      <c r="R6" s="12"/>
      <c r="S6" s="16"/>
      <c r="T6" s="10"/>
      <c r="U6" s="10"/>
      <c r="V6" s="10"/>
      <c r="W6" s="10"/>
      <c r="X6" s="17"/>
    </row>
    <row r="7" spans="1:24" s="21" customFormat="1" ht="43.5" customHeight="1">
      <c r="A7" s="77" t="s">
        <v>3</v>
      </c>
      <c r="B7" s="78" t="s">
        <v>4</v>
      </c>
      <c r="C7" s="79" t="s">
        <v>5</v>
      </c>
      <c r="D7" s="65" t="s">
        <v>6</v>
      </c>
      <c r="E7" s="65"/>
      <c r="F7" s="65"/>
      <c r="G7" s="65"/>
      <c r="H7" s="65"/>
      <c r="I7" s="65" t="s">
        <v>7</v>
      </c>
      <c r="J7" s="99" t="s">
        <v>8</v>
      </c>
      <c r="K7" s="99"/>
      <c r="L7" s="99"/>
      <c r="M7" s="99"/>
      <c r="N7" s="105" t="s">
        <v>7</v>
      </c>
      <c r="O7" s="80" t="s">
        <v>9</v>
      </c>
      <c r="P7" s="80"/>
      <c r="Q7" s="80"/>
      <c r="R7" s="80"/>
      <c r="S7" s="104" t="s">
        <v>7</v>
      </c>
      <c r="T7" s="74" t="s">
        <v>10</v>
      </c>
      <c r="U7" s="74"/>
      <c r="V7" s="102" t="s">
        <v>7</v>
      </c>
      <c r="W7" s="74" t="s">
        <v>11</v>
      </c>
      <c r="X7" s="103" t="s">
        <v>12</v>
      </c>
    </row>
    <row r="8" spans="1:24" s="21" customFormat="1" ht="27" customHeight="1">
      <c r="A8" s="77"/>
      <c r="B8" s="78"/>
      <c r="C8" s="79"/>
      <c r="D8" s="65" t="s">
        <v>13</v>
      </c>
      <c r="E8" s="65"/>
      <c r="F8" s="65"/>
      <c r="G8" s="23" t="s">
        <v>14</v>
      </c>
      <c r="H8" s="23" t="s">
        <v>15</v>
      </c>
      <c r="I8" s="65"/>
      <c r="J8" s="99" t="s">
        <v>16</v>
      </c>
      <c r="K8" s="99"/>
      <c r="L8" s="99" t="s">
        <v>17</v>
      </c>
      <c r="M8" s="99"/>
      <c r="N8" s="105"/>
      <c r="O8" s="20"/>
      <c r="P8" s="80" t="s">
        <v>18</v>
      </c>
      <c r="Q8" s="80"/>
      <c r="R8" s="80" t="s">
        <v>19</v>
      </c>
      <c r="S8" s="104"/>
      <c r="T8" s="74" t="s">
        <v>20</v>
      </c>
      <c r="U8" s="74" t="s">
        <v>21</v>
      </c>
      <c r="V8" s="102"/>
      <c r="W8" s="74"/>
      <c r="X8" s="103"/>
    </row>
    <row r="9" spans="1:24" s="21" customFormat="1" ht="15.75" customHeight="1">
      <c r="A9" s="77"/>
      <c r="B9" s="78"/>
      <c r="C9" s="79"/>
      <c r="D9" s="65" t="s">
        <v>23</v>
      </c>
      <c r="E9" s="65" t="s">
        <v>24</v>
      </c>
      <c r="F9" s="65" t="s">
        <v>25</v>
      </c>
      <c r="G9" s="65" t="s">
        <v>26</v>
      </c>
      <c r="H9" s="65" t="s">
        <v>27</v>
      </c>
      <c r="I9" s="65"/>
      <c r="J9" s="99" t="s">
        <v>28</v>
      </c>
      <c r="K9" s="99" t="s">
        <v>45</v>
      </c>
      <c r="L9" s="99" t="s">
        <v>30</v>
      </c>
      <c r="M9" s="99" t="s">
        <v>31</v>
      </c>
      <c r="N9" s="105"/>
      <c r="O9" s="80" t="s">
        <v>32</v>
      </c>
      <c r="P9" s="80" t="s">
        <v>33</v>
      </c>
      <c r="Q9" s="80" t="s">
        <v>34</v>
      </c>
      <c r="R9" s="80"/>
      <c r="S9" s="104"/>
      <c r="T9" s="74"/>
      <c r="U9" s="74"/>
      <c r="V9" s="102"/>
      <c r="W9" s="74"/>
      <c r="X9" s="103"/>
    </row>
    <row r="10" spans="1:24" s="21" customFormat="1" ht="41.25" customHeight="1">
      <c r="A10" s="77"/>
      <c r="B10" s="78"/>
      <c r="C10" s="79"/>
      <c r="D10" s="65"/>
      <c r="E10" s="65"/>
      <c r="F10" s="65"/>
      <c r="G10" s="65"/>
      <c r="H10" s="65"/>
      <c r="I10" s="65"/>
      <c r="J10" s="99"/>
      <c r="K10" s="99"/>
      <c r="L10" s="99"/>
      <c r="M10" s="99"/>
      <c r="N10" s="105"/>
      <c r="O10" s="80"/>
      <c r="P10" s="80"/>
      <c r="Q10" s="80"/>
      <c r="R10" s="80"/>
      <c r="S10" s="104"/>
      <c r="T10" s="74"/>
      <c r="U10" s="74"/>
      <c r="V10" s="102"/>
      <c r="W10" s="74"/>
      <c r="X10" s="103"/>
    </row>
    <row r="11" spans="1:24" s="21" customFormat="1" ht="21.75" customHeight="1">
      <c r="A11" s="77"/>
      <c r="B11" s="78"/>
      <c r="C11" s="79"/>
      <c r="D11" s="65"/>
      <c r="E11" s="65"/>
      <c r="F11" s="65"/>
      <c r="G11" s="65"/>
      <c r="H11" s="65"/>
      <c r="I11" s="65"/>
      <c r="J11" s="99"/>
      <c r="K11" s="99"/>
      <c r="L11" s="99"/>
      <c r="M11" s="99"/>
      <c r="N11" s="105"/>
      <c r="O11" s="80"/>
      <c r="P11" s="80"/>
      <c r="Q11" s="80"/>
      <c r="R11" s="80"/>
      <c r="S11" s="104"/>
      <c r="T11" s="74"/>
      <c r="U11" s="74"/>
      <c r="V11" s="102"/>
      <c r="W11" s="74"/>
      <c r="X11" s="103"/>
    </row>
    <row r="12" spans="1:24" s="3" customFormat="1" ht="21.75" customHeight="1">
      <c r="A12" s="25" t="s">
        <v>35</v>
      </c>
      <c r="B12" s="26"/>
      <c r="C12" s="27"/>
      <c r="D12" s="28">
        <v>0</v>
      </c>
      <c r="E12" s="29">
        <f aca="true" t="shared" si="0" ref="E12:E23">D12*0.3</f>
        <v>0</v>
      </c>
      <c r="F12" s="30"/>
      <c r="G12" s="31"/>
      <c r="H12" s="32"/>
      <c r="I12" s="33">
        <f aca="true" t="shared" si="1" ref="I12:I23">E12+G12+H12</f>
        <v>0</v>
      </c>
      <c r="J12" s="34">
        <v>0</v>
      </c>
      <c r="K12" s="35">
        <f aca="true" t="shared" si="2" ref="K12:K17">J12*0.08</f>
        <v>0</v>
      </c>
      <c r="L12" s="35"/>
      <c r="M12" s="36">
        <f>(12+28+24+50+62+24+22+21+36+63+57+63+60+57+60+56+91+82+103+103+92+86+103+48+96+75+103+96+99+95+54+55+95+114+114+84+114+114+105+101+110+50+113+108+117+117+113+45+117*4)*0.08/120</f>
        <v>2.772</v>
      </c>
      <c r="N12" s="37">
        <f aca="true" t="shared" si="3" ref="N12:N23">K12+M12</f>
        <v>2.772</v>
      </c>
      <c r="O12" s="31"/>
      <c r="P12" s="38">
        <v>0.30000000000000004</v>
      </c>
      <c r="Q12" s="38"/>
      <c r="R12" s="38"/>
      <c r="S12" s="39">
        <f>O12+P12+Q12+R12</f>
        <v>0.30000000000000004</v>
      </c>
      <c r="T12" s="32">
        <v>1</v>
      </c>
      <c r="U12" s="32"/>
      <c r="V12" s="40">
        <f aca="true" t="shared" si="4" ref="V12:V23">T12+U12</f>
        <v>1</v>
      </c>
      <c r="W12" s="41" t="s">
        <v>36</v>
      </c>
      <c r="X12" s="42">
        <f aca="true" t="shared" si="5" ref="X12:X23">I12+N12+S12+V12</f>
        <v>4.072</v>
      </c>
    </row>
    <row r="13" spans="1:24" s="3" customFormat="1" ht="21.75" customHeight="1">
      <c r="A13" s="25" t="s">
        <v>37</v>
      </c>
      <c r="B13" s="26"/>
      <c r="C13" s="27"/>
      <c r="D13" s="28">
        <v>0</v>
      </c>
      <c r="E13" s="29">
        <f t="shared" si="0"/>
        <v>0</v>
      </c>
      <c r="F13" s="30"/>
      <c r="G13" s="31"/>
      <c r="H13" s="32"/>
      <c r="I13" s="33">
        <f t="shared" si="1"/>
        <v>0</v>
      </c>
      <c r="J13" s="34">
        <v>0</v>
      </c>
      <c r="K13" s="35">
        <f t="shared" si="2"/>
        <v>0</v>
      </c>
      <c r="L13" s="35"/>
      <c r="M13" s="36">
        <f>(62+65+62+60+60+61+63+66+63+84+89+84+88+77+88+84+59+84+72+58+70+72+79+68+84+80+91+84+84+91+94+82+88+72+73+75+85+92+76+106+77+105+91+106+97+96+96+102+96+91+66)*0.08/120</f>
        <v>2.732</v>
      </c>
      <c r="N13" s="37">
        <f t="shared" si="3"/>
        <v>2.732</v>
      </c>
      <c r="O13" s="31"/>
      <c r="P13" s="38">
        <v>0.30000000000000004</v>
      </c>
      <c r="Q13" s="38"/>
      <c r="R13" s="38"/>
      <c r="S13" s="39">
        <f>O13+P13+Q13+R13</f>
        <v>0.30000000000000004</v>
      </c>
      <c r="T13" s="32"/>
      <c r="U13" s="32">
        <v>0.5</v>
      </c>
      <c r="V13" s="40">
        <f t="shared" si="4"/>
        <v>0.5</v>
      </c>
      <c r="W13" s="41" t="s">
        <v>36</v>
      </c>
      <c r="X13" s="42">
        <f t="shared" si="5"/>
        <v>3.532</v>
      </c>
    </row>
    <row r="14" spans="1:24" s="3" customFormat="1" ht="21.75" customHeight="1">
      <c r="A14" s="25" t="s">
        <v>38</v>
      </c>
      <c r="B14" s="26"/>
      <c r="C14" s="27"/>
      <c r="D14" s="28">
        <v>0</v>
      </c>
      <c r="E14" s="29">
        <f t="shared" si="0"/>
        <v>0</v>
      </c>
      <c r="F14" s="30"/>
      <c r="G14" s="31"/>
      <c r="H14" s="32"/>
      <c r="I14" s="33">
        <f t="shared" si="1"/>
        <v>0</v>
      </c>
      <c r="J14" s="34">
        <v>0</v>
      </c>
      <c r="K14" s="35">
        <f t="shared" si="2"/>
        <v>0</v>
      </c>
      <c r="L14" s="35"/>
      <c r="M14" s="36">
        <f>(114+90+66+66+24)*0.08/120</f>
        <v>0.24000000000000002</v>
      </c>
      <c r="N14" s="37">
        <f t="shared" si="3"/>
        <v>0.24000000000000002</v>
      </c>
      <c r="O14" s="31"/>
      <c r="P14" s="38">
        <v>0.6000000000000001</v>
      </c>
      <c r="Q14" s="38"/>
      <c r="R14" s="38"/>
      <c r="S14" s="39">
        <f>O14+P14+Q14+R14</f>
        <v>0.6000000000000001</v>
      </c>
      <c r="T14" s="32"/>
      <c r="U14" s="32">
        <v>0.5</v>
      </c>
      <c r="V14" s="40">
        <f t="shared" si="4"/>
        <v>0.5</v>
      </c>
      <c r="W14" s="41" t="s">
        <v>36</v>
      </c>
      <c r="X14" s="42">
        <f t="shared" si="5"/>
        <v>1.34</v>
      </c>
    </row>
    <row r="15" spans="1:24" s="3" customFormat="1" ht="21.75" customHeight="1">
      <c r="A15" s="25" t="s">
        <v>40</v>
      </c>
      <c r="B15" s="26"/>
      <c r="C15" s="27"/>
      <c r="D15" s="28">
        <v>0</v>
      </c>
      <c r="E15" s="29">
        <f t="shared" si="0"/>
        <v>0</v>
      </c>
      <c r="F15" s="30"/>
      <c r="G15" s="31"/>
      <c r="H15" s="32"/>
      <c r="I15" s="33">
        <f t="shared" si="1"/>
        <v>0</v>
      </c>
      <c r="J15" s="34">
        <v>0</v>
      </c>
      <c r="K15" s="35">
        <f t="shared" si="2"/>
        <v>0</v>
      </c>
      <c r="L15" s="35"/>
      <c r="M15" s="36">
        <f>(17+38+76+96+66+85+71+30+16+90+106+108+103+115+58+54+92+117+92+82+84+80+92+35+87+84+92+91+94+88+35+91*4+15+27+27+24+25)*0.08/120</f>
        <v>1.9040000000000001</v>
      </c>
      <c r="N15" s="37">
        <f t="shared" si="3"/>
        <v>1.9040000000000001</v>
      </c>
      <c r="O15" s="31"/>
      <c r="P15" s="38"/>
      <c r="Q15" s="38"/>
      <c r="R15" s="38"/>
      <c r="S15" s="39"/>
      <c r="T15" s="32">
        <v>1</v>
      </c>
      <c r="U15" s="32"/>
      <c r="V15" s="40">
        <f t="shared" si="4"/>
        <v>1</v>
      </c>
      <c r="W15" s="41" t="s">
        <v>36</v>
      </c>
      <c r="X15" s="42">
        <f t="shared" si="5"/>
        <v>2.904</v>
      </c>
    </row>
    <row r="16" spans="1:24" s="3" customFormat="1" ht="21.75" customHeight="1">
      <c r="A16" s="25" t="s">
        <v>41</v>
      </c>
      <c r="B16" s="26"/>
      <c r="C16" s="27"/>
      <c r="D16" s="28">
        <v>0</v>
      </c>
      <c r="E16" s="29">
        <f t="shared" si="0"/>
        <v>0</v>
      </c>
      <c r="F16" s="30"/>
      <c r="G16" s="31"/>
      <c r="H16" s="32"/>
      <c r="I16" s="33">
        <f t="shared" si="1"/>
        <v>0</v>
      </c>
      <c r="J16" s="34">
        <v>0</v>
      </c>
      <c r="K16" s="35">
        <f t="shared" si="2"/>
        <v>0</v>
      </c>
      <c r="L16" s="35"/>
      <c r="M16" s="36">
        <f>(61+80+108+117+118+113+42+25+68+71+68+18+32+36+32+46+26+95+107+111+100+65+58+60+63+58+60+28+55+53+60+57+54+60+30+52+48+24+39+54)*0.08/120</f>
        <v>1.6346666666666667</v>
      </c>
      <c r="N16" s="37">
        <f t="shared" si="3"/>
        <v>1.6346666666666667</v>
      </c>
      <c r="O16" s="31"/>
      <c r="P16" s="38"/>
      <c r="Q16" s="38"/>
      <c r="R16" s="38"/>
      <c r="S16" s="39"/>
      <c r="T16" s="32">
        <v>1</v>
      </c>
      <c r="U16" s="32"/>
      <c r="V16" s="40">
        <f t="shared" si="4"/>
        <v>1</v>
      </c>
      <c r="W16" s="41" t="s">
        <v>36</v>
      </c>
      <c r="X16" s="42">
        <f t="shared" si="5"/>
        <v>2.634666666666667</v>
      </c>
    </row>
    <row r="17" spans="1:24" ht="21.75" customHeight="1">
      <c r="A17" s="25" t="s">
        <v>42</v>
      </c>
      <c r="B17" s="26"/>
      <c r="C17" s="27"/>
      <c r="D17" s="28">
        <v>0</v>
      </c>
      <c r="E17" s="29">
        <f t="shared" si="0"/>
        <v>0</v>
      </c>
      <c r="F17" s="30"/>
      <c r="G17" s="31"/>
      <c r="H17" s="32"/>
      <c r="I17" s="33">
        <f t="shared" si="1"/>
        <v>0</v>
      </c>
      <c r="J17" s="34">
        <v>0</v>
      </c>
      <c r="K17" s="35">
        <f t="shared" si="2"/>
        <v>0</v>
      </c>
      <c r="L17" s="35"/>
      <c r="M17" s="36">
        <f>(13+24+24+26+21+24+26+20+20+24+19+38+26+13+12+11+12+12+11+20+12+14+13+18+90+102+114+108+108+115+75+55+24+24+27+27+24+12+63+60+63+66+66+63+30+78*4+80)*0.08/120</f>
        <v>1.4406666666666665</v>
      </c>
      <c r="N17" s="37">
        <f t="shared" si="3"/>
        <v>1.4406666666666665</v>
      </c>
      <c r="O17" s="31"/>
      <c r="P17" s="38"/>
      <c r="Q17" s="38"/>
      <c r="R17" s="38"/>
      <c r="S17" s="39"/>
      <c r="T17" s="32">
        <v>1</v>
      </c>
      <c r="U17" s="32"/>
      <c r="V17" s="40">
        <f t="shared" si="4"/>
        <v>1</v>
      </c>
      <c r="W17" s="41" t="s">
        <v>36</v>
      </c>
      <c r="X17" s="42">
        <f t="shared" si="5"/>
        <v>2.4406666666666665</v>
      </c>
    </row>
    <row r="18" spans="1:24" ht="21.75" customHeight="1">
      <c r="A18" s="25" t="s">
        <v>43</v>
      </c>
      <c r="B18" s="26"/>
      <c r="C18" s="27"/>
      <c r="D18" s="28">
        <v>0</v>
      </c>
      <c r="E18" s="29">
        <f t="shared" si="0"/>
        <v>0</v>
      </c>
      <c r="F18" s="30"/>
      <c r="G18" s="31"/>
      <c r="H18" s="32"/>
      <c r="I18" s="33">
        <f t="shared" si="1"/>
        <v>0</v>
      </c>
      <c r="J18" s="34">
        <v>0</v>
      </c>
      <c r="K18" s="35"/>
      <c r="L18" s="35"/>
      <c r="M18" s="36">
        <f>(30+60*5+58+60+57+58+65+60+68+25+71+65+59+30+48+66*4+45+17+23+28+29+29+33+14+23+24+23+25+24)*0.08/120</f>
        <v>1.1033333333333333</v>
      </c>
      <c r="N18" s="37">
        <f t="shared" si="3"/>
        <v>1.1033333333333333</v>
      </c>
      <c r="O18" s="31"/>
      <c r="P18" s="38">
        <v>0.6000000000000001</v>
      </c>
      <c r="Q18" s="38"/>
      <c r="R18" s="38"/>
      <c r="S18" s="39">
        <f>O18+P18+Q18+R18</f>
        <v>0.6000000000000001</v>
      </c>
      <c r="T18" s="32">
        <v>1</v>
      </c>
      <c r="U18" s="32"/>
      <c r="V18" s="40">
        <f t="shared" si="4"/>
        <v>1</v>
      </c>
      <c r="W18" s="41" t="s">
        <v>36</v>
      </c>
      <c r="X18" s="42">
        <f t="shared" si="5"/>
        <v>2.703333333333333</v>
      </c>
    </row>
    <row r="19" spans="1:24" ht="21.75" customHeight="1">
      <c r="A19" s="25" t="s">
        <v>50</v>
      </c>
      <c r="B19" s="26"/>
      <c r="C19" s="27"/>
      <c r="D19" s="28">
        <v>0</v>
      </c>
      <c r="E19" s="29">
        <f t="shared" si="0"/>
        <v>0</v>
      </c>
      <c r="F19" s="30"/>
      <c r="G19" s="31"/>
      <c r="H19" s="32"/>
      <c r="I19" s="33">
        <f t="shared" si="1"/>
        <v>0</v>
      </c>
      <c r="J19" s="34">
        <v>0</v>
      </c>
      <c r="K19" s="35">
        <f>J19*0.08</f>
        <v>0</v>
      </c>
      <c r="L19" s="35"/>
      <c r="M19" s="36">
        <f>(30+102+111+114+116)*0.08/120</f>
        <v>0.31533333333333335</v>
      </c>
      <c r="N19" s="37">
        <f t="shared" si="3"/>
        <v>0.31533333333333335</v>
      </c>
      <c r="O19" s="31"/>
      <c r="P19" s="38">
        <v>0.6000000000000001</v>
      </c>
      <c r="Q19" s="38">
        <v>0.5</v>
      </c>
      <c r="R19" s="38"/>
      <c r="S19" s="39">
        <f>O19+P19+Q19+R19</f>
        <v>1.1</v>
      </c>
      <c r="T19" s="32">
        <v>1</v>
      </c>
      <c r="U19" s="32"/>
      <c r="V19" s="40">
        <f t="shared" si="4"/>
        <v>1</v>
      </c>
      <c r="W19" s="41" t="s">
        <v>36</v>
      </c>
      <c r="X19" s="42">
        <f t="shared" si="5"/>
        <v>2.4153333333333333</v>
      </c>
    </row>
    <row r="20" spans="1:24" ht="21.75" customHeight="1">
      <c r="A20" s="25" t="s">
        <v>51</v>
      </c>
      <c r="B20" s="26"/>
      <c r="C20" s="27"/>
      <c r="D20" s="28">
        <v>0</v>
      </c>
      <c r="E20" s="29">
        <f t="shared" si="0"/>
        <v>0</v>
      </c>
      <c r="F20" s="30"/>
      <c r="G20" s="31"/>
      <c r="H20" s="32"/>
      <c r="I20" s="33">
        <f t="shared" si="1"/>
        <v>0</v>
      </c>
      <c r="J20" s="34">
        <v>0</v>
      </c>
      <c r="K20" s="35"/>
      <c r="L20" s="35"/>
      <c r="M20" s="36">
        <f>(68+84+88+80+92+80)*0.08/120</f>
        <v>0.328</v>
      </c>
      <c r="N20" s="37">
        <f t="shared" si="3"/>
        <v>0.328</v>
      </c>
      <c r="O20" s="31"/>
      <c r="P20" s="38">
        <v>0.30000000000000004</v>
      </c>
      <c r="Q20" s="38"/>
      <c r="R20" s="38"/>
      <c r="S20" s="39">
        <f>O20+P20+Q20+R20</f>
        <v>0.30000000000000004</v>
      </c>
      <c r="T20" s="32">
        <v>1</v>
      </c>
      <c r="U20" s="32"/>
      <c r="V20" s="40">
        <f t="shared" si="4"/>
        <v>1</v>
      </c>
      <c r="W20" s="41" t="s">
        <v>36</v>
      </c>
      <c r="X20" s="42">
        <f t="shared" si="5"/>
        <v>1.6280000000000001</v>
      </c>
    </row>
    <row r="21" spans="1:24" ht="21.75" customHeight="1">
      <c r="A21" s="25" t="s">
        <v>52</v>
      </c>
      <c r="B21" s="26"/>
      <c r="C21" s="27"/>
      <c r="D21" s="28">
        <v>0</v>
      </c>
      <c r="E21" s="29">
        <f t="shared" si="0"/>
        <v>0</v>
      </c>
      <c r="F21" s="30"/>
      <c r="G21" s="31"/>
      <c r="H21" s="32"/>
      <c r="I21" s="33">
        <f t="shared" si="1"/>
        <v>0</v>
      </c>
      <c r="J21" s="34"/>
      <c r="K21" s="35"/>
      <c r="L21" s="35"/>
      <c r="M21" s="36">
        <f>(42+84+84)*0.08/120</f>
        <v>0.14</v>
      </c>
      <c r="N21" s="37">
        <f t="shared" si="3"/>
        <v>0.14</v>
      </c>
      <c r="O21" s="31"/>
      <c r="P21" s="38"/>
      <c r="Q21" s="38"/>
      <c r="R21" s="38"/>
      <c r="S21" s="39"/>
      <c r="T21" s="32">
        <v>1</v>
      </c>
      <c r="U21" s="32"/>
      <c r="V21" s="40">
        <f t="shared" si="4"/>
        <v>1</v>
      </c>
      <c r="W21" s="41" t="s">
        <v>36</v>
      </c>
      <c r="X21" s="42">
        <f t="shared" si="5"/>
        <v>1.1400000000000001</v>
      </c>
    </row>
    <row r="22" spans="1:24" ht="21.75" customHeight="1">
      <c r="A22" s="25" t="s">
        <v>53</v>
      </c>
      <c r="B22" s="26"/>
      <c r="C22" s="27"/>
      <c r="D22" s="28">
        <v>0</v>
      </c>
      <c r="E22" s="29">
        <f t="shared" si="0"/>
        <v>0</v>
      </c>
      <c r="F22" s="30"/>
      <c r="G22" s="31"/>
      <c r="H22" s="32"/>
      <c r="I22" s="33">
        <f t="shared" si="1"/>
        <v>0</v>
      </c>
      <c r="J22" s="34"/>
      <c r="K22" s="35"/>
      <c r="L22" s="35"/>
      <c r="M22" s="36"/>
      <c r="N22" s="37">
        <f t="shared" si="3"/>
        <v>0</v>
      </c>
      <c r="O22" s="31"/>
      <c r="P22" s="38"/>
      <c r="Q22" s="38"/>
      <c r="R22" s="38"/>
      <c r="S22" s="39"/>
      <c r="T22" s="32">
        <v>1</v>
      </c>
      <c r="U22" s="32"/>
      <c r="V22" s="40">
        <f t="shared" si="4"/>
        <v>1</v>
      </c>
      <c r="W22" s="41" t="s">
        <v>36</v>
      </c>
      <c r="X22" s="42">
        <f t="shared" si="5"/>
        <v>1</v>
      </c>
    </row>
    <row r="23" spans="1:24" ht="21.75" customHeight="1">
      <c r="A23" s="25" t="s">
        <v>54</v>
      </c>
      <c r="B23" s="26"/>
      <c r="C23" s="27"/>
      <c r="D23" s="28">
        <v>0</v>
      </c>
      <c r="E23" s="29">
        <f t="shared" si="0"/>
        <v>0</v>
      </c>
      <c r="F23" s="30"/>
      <c r="G23" s="31"/>
      <c r="H23" s="32"/>
      <c r="I23" s="33">
        <f t="shared" si="1"/>
        <v>0</v>
      </c>
      <c r="J23" s="34"/>
      <c r="K23" s="35"/>
      <c r="L23" s="35"/>
      <c r="M23" s="36"/>
      <c r="N23" s="37">
        <f t="shared" si="3"/>
        <v>0</v>
      </c>
      <c r="O23" s="31"/>
      <c r="P23" s="38"/>
      <c r="Q23" s="38"/>
      <c r="R23" s="38"/>
      <c r="S23" s="39"/>
      <c r="T23" s="32">
        <v>1</v>
      </c>
      <c r="U23" s="32"/>
      <c r="V23" s="40">
        <f t="shared" si="4"/>
        <v>1</v>
      </c>
      <c r="W23" s="41" t="s">
        <v>36</v>
      </c>
      <c r="X23" s="42">
        <f t="shared" si="5"/>
        <v>1</v>
      </c>
    </row>
  </sheetData>
  <sheetProtection selectLockedCells="1" selectUnlockedCells="1"/>
  <mergeCells count="35">
    <mergeCell ref="K9:K11"/>
    <mergeCell ref="L9:L11"/>
    <mergeCell ref="D8:F8"/>
    <mergeCell ref="J8:K8"/>
    <mergeCell ref="L8:M8"/>
    <mergeCell ref="P8:Q8"/>
    <mergeCell ref="N7:N11"/>
    <mergeCell ref="D9:D11"/>
    <mergeCell ref="E9:E11"/>
    <mergeCell ref="F9:F11"/>
    <mergeCell ref="G9:G11"/>
    <mergeCell ref="M9:M11"/>
    <mergeCell ref="O9:O11"/>
    <mergeCell ref="H9:H11"/>
    <mergeCell ref="J9:J11"/>
    <mergeCell ref="W7:W11"/>
    <mergeCell ref="X7:X11"/>
    <mergeCell ref="U8:U11"/>
    <mergeCell ref="P9:P11"/>
    <mergeCell ref="Q9:Q11"/>
    <mergeCell ref="R8:R11"/>
    <mergeCell ref="T8:T11"/>
    <mergeCell ref="O7:R7"/>
    <mergeCell ref="S7:S11"/>
    <mergeCell ref="T7:U7"/>
    <mergeCell ref="V7:V11"/>
    <mergeCell ref="A1:X1"/>
    <mergeCell ref="A2:X2"/>
    <mergeCell ref="A3:X3"/>
    <mergeCell ref="A7:A11"/>
    <mergeCell ref="B7:B11"/>
    <mergeCell ref="C7:C11"/>
    <mergeCell ref="D7:H7"/>
    <mergeCell ref="I7:I11"/>
    <mergeCell ref="J7:M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31"/>
  <sheetViews>
    <sheetView zoomScale="75" zoomScaleNormal="75" zoomScalePageLayoutView="0" workbookViewId="0" topLeftCell="A1">
      <selection activeCell="G35" sqref="G35"/>
    </sheetView>
  </sheetViews>
  <sheetFormatPr defaultColWidth="9.140625" defaultRowHeight="12.75" customHeight="1"/>
  <cols>
    <col min="1" max="1" width="5.28125" style="1" customWidth="1"/>
    <col min="2" max="2" width="26.421875" style="3" customWidth="1"/>
    <col min="3" max="3" width="9.57421875" style="3" customWidth="1"/>
    <col min="4" max="4" width="7.8515625" style="3" customWidth="1"/>
    <col min="5" max="6" width="9.57421875" style="3" customWidth="1"/>
    <col min="7" max="7" width="14.421875" style="3" customWidth="1"/>
    <col min="8" max="8" width="13.00390625" style="3" customWidth="1"/>
    <col min="9" max="9" width="9.140625" style="3" customWidth="1"/>
    <col min="10" max="10" width="12.421875" style="4" customWidth="1"/>
    <col min="11" max="11" width="12.57421875" style="4" customWidth="1"/>
    <col min="12" max="12" width="13.57421875" style="4" customWidth="1"/>
    <col min="13" max="13" width="12.00390625" style="4" customWidth="1"/>
    <col min="14" max="14" width="10.8515625" style="5" customWidth="1"/>
    <col min="15" max="15" width="11.28125" style="3" customWidth="1"/>
    <col min="16" max="16" width="12.8515625" style="1" customWidth="1"/>
    <col min="17" max="17" width="11.7109375" style="3" customWidth="1"/>
    <col min="18" max="18" width="14.421875" style="1" customWidth="1"/>
    <col min="19" max="19" width="9.00390625" style="6" customWidth="1"/>
    <col min="20" max="20" width="10.7109375" style="3" customWidth="1"/>
    <col min="21" max="21" width="11.8515625" style="3" customWidth="1"/>
    <col min="22" max="22" width="8.8515625" style="3" customWidth="1"/>
    <col min="23" max="23" width="9.57421875" style="3" customWidth="1"/>
    <col min="24" max="24" width="14.7109375" style="7" customWidth="1"/>
    <col min="25" max="16384" width="9.140625" style="3" customWidth="1"/>
  </cols>
  <sheetData>
    <row r="1" spans="1:24" ht="15.7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51" ht="15.7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0" ht="15.75" customHeight="1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4" ht="10.5" customHeight="1">
      <c r="A4"/>
      <c r="B4" s="8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1:24" ht="21.75" customHeight="1">
      <c r="A5" s="10"/>
      <c r="B5" s="11" t="s">
        <v>55</v>
      </c>
      <c r="C5" s="13"/>
      <c r="D5" s="13"/>
      <c r="E5" s="13"/>
      <c r="F5" s="13"/>
      <c r="G5" s="13"/>
      <c r="H5" s="13"/>
      <c r="I5" s="13"/>
      <c r="J5" s="14"/>
      <c r="K5" s="14"/>
      <c r="L5" s="14"/>
      <c r="M5" s="14"/>
      <c r="N5" s="15"/>
      <c r="O5" s="13"/>
      <c r="P5" s="12"/>
      <c r="Q5" s="13"/>
      <c r="R5" s="12"/>
      <c r="S5" s="16"/>
      <c r="T5" s="10"/>
      <c r="U5" s="10"/>
      <c r="V5" s="10"/>
      <c r="W5" s="10"/>
      <c r="X5" s="17"/>
    </row>
    <row r="6" spans="1:24" ht="13.5" customHeight="1">
      <c r="A6" s="10"/>
      <c r="B6" s="18"/>
      <c r="C6" s="13"/>
      <c r="D6" s="13"/>
      <c r="E6" s="13"/>
      <c r="F6" s="13"/>
      <c r="G6" s="13"/>
      <c r="H6" s="13"/>
      <c r="I6" s="13"/>
      <c r="J6" s="14"/>
      <c r="K6" s="14"/>
      <c r="L6" s="14"/>
      <c r="M6" s="14"/>
      <c r="N6" s="15"/>
      <c r="O6" s="13"/>
      <c r="P6" s="12"/>
      <c r="Q6" s="13"/>
      <c r="R6" s="12"/>
      <c r="S6" s="16"/>
      <c r="T6" s="10"/>
      <c r="U6" s="10"/>
      <c r="V6" s="10"/>
      <c r="W6" s="10"/>
      <c r="X6" s="17"/>
    </row>
    <row r="7" spans="1:24" s="21" customFormat="1" ht="43.5" customHeight="1">
      <c r="A7" s="77" t="s">
        <v>3</v>
      </c>
      <c r="B7" s="78" t="s">
        <v>4</v>
      </c>
      <c r="C7" s="79" t="s">
        <v>5</v>
      </c>
      <c r="D7" s="65" t="s">
        <v>6</v>
      </c>
      <c r="E7" s="65"/>
      <c r="F7" s="65"/>
      <c r="G7" s="65"/>
      <c r="H7" s="65"/>
      <c r="I7" s="65" t="s">
        <v>7</v>
      </c>
      <c r="J7" s="99" t="s">
        <v>8</v>
      </c>
      <c r="K7" s="99"/>
      <c r="L7" s="99"/>
      <c r="M7" s="99"/>
      <c r="N7" s="105" t="s">
        <v>7</v>
      </c>
      <c r="O7" s="80" t="s">
        <v>9</v>
      </c>
      <c r="P7" s="80"/>
      <c r="Q7" s="80"/>
      <c r="R7" s="80"/>
      <c r="S7" s="104" t="s">
        <v>7</v>
      </c>
      <c r="T7" s="74" t="s">
        <v>10</v>
      </c>
      <c r="U7" s="74"/>
      <c r="V7" s="102" t="s">
        <v>7</v>
      </c>
      <c r="W7" s="74" t="s">
        <v>11</v>
      </c>
      <c r="X7" s="103" t="s">
        <v>12</v>
      </c>
    </row>
    <row r="8" spans="1:24" s="21" customFormat="1" ht="27" customHeight="1">
      <c r="A8" s="77"/>
      <c r="B8" s="78"/>
      <c r="C8" s="79"/>
      <c r="D8" s="65" t="s">
        <v>13</v>
      </c>
      <c r="E8" s="65"/>
      <c r="F8" s="65"/>
      <c r="G8" s="23" t="s">
        <v>14</v>
      </c>
      <c r="H8" s="23" t="s">
        <v>15</v>
      </c>
      <c r="I8" s="65"/>
      <c r="J8" s="99" t="s">
        <v>16</v>
      </c>
      <c r="K8" s="99"/>
      <c r="L8" s="99" t="s">
        <v>17</v>
      </c>
      <c r="M8" s="99"/>
      <c r="N8" s="105"/>
      <c r="O8" s="20"/>
      <c r="P8" s="80" t="s">
        <v>18</v>
      </c>
      <c r="Q8" s="80"/>
      <c r="R8" s="80" t="s">
        <v>19</v>
      </c>
      <c r="S8" s="104"/>
      <c r="T8" s="74" t="s">
        <v>20</v>
      </c>
      <c r="U8" s="74" t="s">
        <v>21</v>
      </c>
      <c r="V8" s="102"/>
      <c r="W8" s="74"/>
      <c r="X8" s="103"/>
    </row>
    <row r="9" spans="1:24" s="21" customFormat="1" ht="15.75" customHeight="1">
      <c r="A9" s="77"/>
      <c r="B9" s="78"/>
      <c r="C9" s="79"/>
      <c r="D9" s="65" t="s">
        <v>23</v>
      </c>
      <c r="E9" s="65" t="s">
        <v>24</v>
      </c>
      <c r="F9" s="65" t="s">
        <v>25</v>
      </c>
      <c r="G9" s="65" t="s">
        <v>26</v>
      </c>
      <c r="H9" s="65" t="s">
        <v>27</v>
      </c>
      <c r="I9" s="65"/>
      <c r="J9" s="99" t="s">
        <v>28</v>
      </c>
      <c r="K9" s="99" t="s">
        <v>45</v>
      </c>
      <c r="L9" s="99" t="s">
        <v>30</v>
      </c>
      <c r="M9" s="99" t="s">
        <v>31</v>
      </c>
      <c r="N9" s="105"/>
      <c r="O9" s="80" t="s">
        <v>32</v>
      </c>
      <c r="P9" s="80" t="s">
        <v>33</v>
      </c>
      <c r="Q9" s="80" t="s">
        <v>34</v>
      </c>
      <c r="R9" s="80"/>
      <c r="S9" s="104"/>
      <c r="T9" s="74"/>
      <c r="U9" s="74"/>
      <c r="V9" s="102"/>
      <c r="W9" s="74"/>
      <c r="X9" s="103"/>
    </row>
    <row r="10" spans="1:24" s="21" customFormat="1" ht="41.25" customHeight="1">
      <c r="A10" s="77"/>
      <c r="B10" s="78"/>
      <c r="C10" s="79"/>
      <c r="D10" s="65"/>
      <c r="E10" s="65"/>
      <c r="F10" s="65"/>
      <c r="G10" s="65"/>
      <c r="H10" s="65"/>
      <c r="I10" s="65"/>
      <c r="J10" s="99"/>
      <c r="K10" s="99"/>
      <c r="L10" s="99"/>
      <c r="M10" s="99"/>
      <c r="N10" s="105"/>
      <c r="O10" s="80"/>
      <c r="P10" s="80"/>
      <c r="Q10" s="80"/>
      <c r="R10" s="80"/>
      <c r="S10" s="104"/>
      <c r="T10" s="74"/>
      <c r="U10" s="74"/>
      <c r="V10" s="102"/>
      <c r="W10" s="74"/>
      <c r="X10" s="103"/>
    </row>
    <row r="11" spans="1:24" s="21" customFormat="1" ht="17.25" customHeight="1">
      <c r="A11" s="77"/>
      <c r="B11" s="78"/>
      <c r="C11" s="79"/>
      <c r="D11" s="65"/>
      <c r="E11" s="65"/>
      <c r="F11" s="65"/>
      <c r="G11" s="65"/>
      <c r="H11" s="65"/>
      <c r="I11" s="65"/>
      <c r="J11" s="99"/>
      <c r="K11" s="99"/>
      <c r="L11" s="99"/>
      <c r="M11" s="99"/>
      <c r="N11" s="105"/>
      <c r="O11" s="80"/>
      <c r="P11" s="80"/>
      <c r="Q11" s="80"/>
      <c r="R11" s="80"/>
      <c r="S11" s="104"/>
      <c r="T11" s="74"/>
      <c r="U11" s="74"/>
      <c r="V11" s="102"/>
      <c r="W11" s="74"/>
      <c r="X11" s="103"/>
    </row>
    <row r="12" spans="1:24" ht="21.75" customHeight="1">
      <c r="A12" s="25" t="s">
        <v>35</v>
      </c>
      <c r="B12" s="26" t="s">
        <v>56</v>
      </c>
      <c r="C12" s="27"/>
      <c r="D12" s="28">
        <v>0</v>
      </c>
      <c r="E12" s="29">
        <f aca="true" t="shared" si="0" ref="E12:E31">D12*0.3</f>
        <v>0</v>
      </c>
      <c r="F12" s="30"/>
      <c r="G12" s="31">
        <v>0.5</v>
      </c>
      <c r="H12" s="32"/>
      <c r="I12" s="33">
        <f aca="true" t="shared" si="1" ref="I12:I31">E12+G12+H12</f>
        <v>0.5</v>
      </c>
      <c r="J12" s="34">
        <v>39</v>
      </c>
      <c r="K12" s="35">
        <f>J12*0.08</f>
        <v>3.12</v>
      </c>
      <c r="L12" s="35">
        <v>21</v>
      </c>
      <c r="M12" s="36">
        <f>(60+114+114+114+102+90+114+90+72+114+66+54+114+114+78+54+57+66+57+60+66)*0.08/120</f>
        <v>1.18</v>
      </c>
      <c r="N12" s="37">
        <f aca="true" t="shared" si="2" ref="N12:N31">K12+M12</f>
        <v>4.3</v>
      </c>
      <c r="O12" s="31"/>
      <c r="P12" s="38">
        <v>0.6000000000000001</v>
      </c>
      <c r="Q12" s="38">
        <v>0.5</v>
      </c>
      <c r="R12" s="38"/>
      <c r="S12" s="39">
        <f>O12+P12+Q12+R12</f>
        <v>1.1</v>
      </c>
      <c r="T12" s="32">
        <v>1</v>
      </c>
      <c r="U12" s="32"/>
      <c r="V12" s="40">
        <f aca="true" t="shared" si="3" ref="V12:V31">T12+U12</f>
        <v>1</v>
      </c>
      <c r="W12" s="41" t="s">
        <v>36</v>
      </c>
      <c r="X12" s="42">
        <f aca="true" t="shared" si="4" ref="X12:X31">I12+N12+S12+V12</f>
        <v>6.9</v>
      </c>
    </row>
    <row r="13" spans="1:24" ht="21.75" customHeight="1">
      <c r="A13" s="25" t="s">
        <v>37</v>
      </c>
      <c r="B13" s="26"/>
      <c r="C13" s="27"/>
      <c r="D13" s="28">
        <v>1</v>
      </c>
      <c r="E13" s="29">
        <f t="shared" si="0"/>
        <v>0.30000000000000004</v>
      </c>
      <c r="F13" s="30"/>
      <c r="G13" s="31"/>
      <c r="H13" s="32"/>
      <c r="I13" s="33">
        <f t="shared" si="1"/>
        <v>0.30000000000000004</v>
      </c>
      <c r="J13" s="34">
        <v>40</v>
      </c>
      <c r="K13" s="35">
        <f>J13*0.08</f>
        <v>3.2</v>
      </c>
      <c r="L13" s="35">
        <v>20</v>
      </c>
      <c r="M13" s="36">
        <f>(90+84+84+84+114+108+84+92+92+79+92+114+114+114+114+90+114+90+114+102)*0.08/120</f>
        <v>1.3126666666666666</v>
      </c>
      <c r="N13" s="37">
        <f t="shared" si="2"/>
        <v>4.512666666666667</v>
      </c>
      <c r="O13" s="31"/>
      <c r="P13" s="38">
        <v>0.6000000000000001</v>
      </c>
      <c r="Q13" s="38"/>
      <c r="R13" s="38"/>
      <c r="S13" s="39">
        <f>O13+P13+Q13+R13</f>
        <v>0.6000000000000001</v>
      </c>
      <c r="T13" s="32">
        <v>1</v>
      </c>
      <c r="U13" s="32"/>
      <c r="V13" s="40">
        <f t="shared" si="3"/>
        <v>1</v>
      </c>
      <c r="W13" s="41" t="s">
        <v>36</v>
      </c>
      <c r="X13" s="42">
        <f t="shared" si="4"/>
        <v>6.4126666666666665</v>
      </c>
    </row>
    <row r="14" spans="1:24" ht="21.75" customHeight="1">
      <c r="A14" s="25" t="s">
        <v>38</v>
      </c>
      <c r="B14" s="26"/>
      <c r="C14" s="27"/>
      <c r="D14" s="28">
        <v>2</v>
      </c>
      <c r="E14" s="29">
        <f t="shared" si="0"/>
        <v>0.6000000000000001</v>
      </c>
      <c r="F14" s="30"/>
      <c r="G14" s="31">
        <v>0.5</v>
      </c>
      <c r="H14" s="32"/>
      <c r="I14" s="33">
        <f t="shared" si="1"/>
        <v>1.1</v>
      </c>
      <c r="J14" s="34">
        <v>21</v>
      </c>
      <c r="K14" s="35">
        <f>J14*0.08</f>
        <v>1.68</v>
      </c>
      <c r="L14" s="35">
        <v>30</v>
      </c>
      <c r="M14" s="36">
        <f>(72+90+48+114+90+114+114+24+114+114+54+78+37+53+39+55+24+69+72+69+70+77+33+36+72*4+36)*0.08/120</f>
        <v>1.3226666666666667</v>
      </c>
      <c r="N14" s="37">
        <f t="shared" si="2"/>
        <v>3.0026666666666664</v>
      </c>
      <c r="O14" s="31"/>
      <c r="P14" s="38"/>
      <c r="Q14" s="38"/>
      <c r="R14" s="38"/>
      <c r="S14" s="39"/>
      <c r="T14" s="32">
        <v>1</v>
      </c>
      <c r="U14" s="32"/>
      <c r="V14" s="40">
        <f t="shared" si="3"/>
        <v>1</v>
      </c>
      <c r="W14" s="41" t="s">
        <v>36</v>
      </c>
      <c r="X14" s="42">
        <f t="shared" si="4"/>
        <v>5.102666666666666</v>
      </c>
    </row>
    <row r="15" spans="1:24" ht="21.75" customHeight="1">
      <c r="A15" s="25" t="s">
        <v>40</v>
      </c>
      <c r="B15" s="26"/>
      <c r="C15" s="27"/>
      <c r="D15" s="28">
        <v>3</v>
      </c>
      <c r="E15" s="29">
        <f t="shared" si="0"/>
        <v>0.9000000000000001</v>
      </c>
      <c r="F15" s="30"/>
      <c r="G15" s="31">
        <v>0.5</v>
      </c>
      <c r="H15" s="32"/>
      <c r="I15" s="33">
        <f t="shared" si="1"/>
        <v>1.4000000000000001</v>
      </c>
      <c r="J15" s="34">
        <v>8</v>
      </c>
      <c r="K15" s="35">
        <f>J15*0.08</f>
        <v>0.64</v>
      </c>
      <c r="L15" s="35">
        <v>39</v>
      </c>
      <c r="M15" s="36">
        <f>(60+60+66+69+21+36+39+36+36+24+91+108+102+109+113+108+48+66+48+65+33+29+57+66+60+60+33+78+54+77+76+68+64+76+36+32+48+78+60)*0.08/120</f>
        <v>1.5933333333333335</v>
      </c>
      <c r="N15" s="37">
        <f t="shared" si="2"/>
        <v>2.2333333333333334</v>
      </c>
      <c r="O15" s="31"/>
      <c r="P15" s="38"/>
      <c r="Q15" s="38"/>
      <c r="R15" s="38"/>
      <c r="S15" s="39"/>
      <c r="T15" s="32">
        <v>1</v>
      </c>
      <c r="U15" s="32"/>
      <c r="V15" s="40">
        <f t="shared" si="3"/>
        <v>1</v>
      </c>
      <c r="W15" s="41" t="s">
        <v>36</v>
      </c>
      <c r="X15" s="42">
        <f t="shared" si="4"/>
        <v>4.633333333333334</v>
      </c>
    </row>
    <row r="16" spans="1:24" ht="21.75" customHeight="1">
      <c r="A16" s="25" t="s">
        <v>41</v>
      </c>
      <c r="B16" s="26"/>
      <c r="C16" s="27"/>
      <c r="D16" s="28">
        <v>4</v>
      </c>
      <c r="E16" s="29">
        <f t="shared" si="0"/>
        <v>1.2000000000000002</v>
      </c>
      <c r="F16" s="30"/>
      <c r="G16" s="31"/>
      <c r="H16" s="32"/>
      <c r="I16" s="33">
        <f t="shared" si="1"/>
        <v>1.2000000000000002</v>
      </c>
      <c r="J16" s="34">
        <v>6</v>
      </c>
      <c r="K16" s="35">
        <f>J16*0.08</f>
        <v>0.48</v>
      </c>
      <c r="L16" s="35">
        <v>30</v>
      </c>
      <c r="M16" s="36">
        <f>(54+108*2+54+34+63+89+106+108+111+86+112+24+80*2+92+80+84+45+66+63+15+67+33+113+108+117*2+113+50)*0.08/120</f>
        <v>1.5866666666666667</v>
      </c>
      <c r="N16" s="37">
        <f t="shared" si="2"/>
        <v>2.0666666666666664</v>
      </c>
      <c r="O16" s="31"/>
      <c r="P16" s="38">
        <v>0.6000000000000001</v>
      </c>
      <c r="Q16" s="38"/>
      <c r="R16" s="38"/>
      <c r="S16" s="39">
        <f>O16+P16+Q16+R16</f>
        <v>0.6000000000000001</v>
      </c>
      <c r="T16" s="32">
        <v>1</v>
      </c>
      <c r="U16" s="32"/>
      <c r="V16" s="40">
        <f t="shared" si="3"/>
        <v>1</v>
      </c>
      <c r="W16" s="41" t="s">
        <v>36</v>
      </c>
      <c r="X16" s="42">
        <f t="shared" si="4"/>
        <v>4.866666666666667</v>
      </c>
    </row>
    <row r="17" spans="1:24" ht="21.75" customHeight="1">
      <c r="A17" s="25" t="s">
        <v>42</v>
      </c>
      <c r="B17" s="26"/>
      <c r="C17" s="27"/>
      <c r="D17" s="28">
        <v>5</v>
      </c>
      <c r="E17" s="29">
        <f t="shared" si="0"/>
        <v>1.5000000000000002</v>
      </c>
      <c r="F17" s="30"/>
      <c r="G17" s="31"/>
      <c r="H17" s="32"/>
      <c r="I17" s="33">
        <f t="shared" si="1"/>
        <v>1.5000000000000002</v>
      </c>
      <c r="J17" s="34"/>
      <c r="K17" s="35"/>
      <c r="L17" s="35">
        <v>52</v>
      </c>
      <c r="M17" s="36">
        <f>(94*21+62+10+100*6+80+90+80+70+90*3+85*3+87+18+21+96+45+18+28+24+26*5)*0.08/120</f>
        <v>2.6386666666666665</v>
      </c>
      <c r="N17" s="37">
        <f t="shared" si="2"/>
        <v>2.6386666666666665</v>
      </c>
      <c r="O17" s="31"/>
      <c r="P17" s="38"/>
      <c r="Q17" s="38"/>
      <c r="R17" s="38"/>
      <c r="S17" s="39"/>
      <c r="T17" s="32"/>
      <c r="U17" s="32">
        <v>0.5</v>
      </c>
      <c r="V17" s="40">
        <f t="shared" si="3"/>
        <v>0.5</v>
      </c>
      <c r="W17" s="41" t="s">
        <v>36</v>
      </c>
      <c r="X17" s="42">
        <f t="shared" si="4"/>
        <v>4.6386666666666665</v>
      </c>
    </row>
    <row r="18" spans="1:24" ht="21.75" customHeight="1">
      <c r="A18" s="25" t="s">
        <v>43</v>
      </c>
      <c r="B18" s="26"/>
      <c r="C18" s="27"/>
      <c r="D18" s="28">
        <v>6</v>
      </c>
      <c r="E18" s="29">
        <f t="shared" si="0"/>
        <v>1.8000000000000003</v>
      </c>
      <c r="F18" s="30"/>
      <c r="G18" s="31"/>
      <c r="H18" s="32"/>
      <c r="I18" s="33">
        <f t="shared" si="1"/>
        <v>1.8000000000000003</v>
      </c>
      <c r="J18" s="34">
        <v>8</v>
      </c>
      <c r="K18" s="35">
        <f>J18*0.08</f>
        <v>0.64</v>
      </c>
      <c r="L18" s="35">
        <v>7</v>
      </c>
      <c r="M18" s="36">
        <f>(302+114+102+23+69+87.5+77)*0.08/120</f>
        <v>0.5163333333333333</v>
      </c>
      <c r="N18" s="37">
        <f t="shared" si="2"/>
        <v>1.1563333333333334</v>
      </c>
      <c r="O18" s="31"/>
      <c r="P18" s="38">
        <v>0.6000000000000001</v>
      </c>
      <c r="Q18" s="38"/>
      <c r="R18" s="38"/>
      <c r="S18" s="39">
        <f>O18+P18+Q18+R18</f>
        <v>0.6000000000000001</v>
      </c>
      <c r="T18" s="32">
        <v>1</v>
      </c>
      <c r="U18" s="32"/>
      <c r="V18" s="40">
        <f t="shared" si="3"/>
        <v>1</v>
      </c>
      <c r="W18" s="41" t="s">
        <v>36</v>
      </c>
      <c r="X18" s="42">
        <f t="shared" si="4"/>
        <v>4.556333333333334</v>
      </c>
    </row>
    <row r="19" spans="1:24" ht="21.75" customHeight="1">
      <c r="A19" s="25" t="s">
        <v>50</v>
      </c>
      <c r="B19" s="26"/>
      <c r="C19" s="27"/>
      <c r="D19" s="28">
        <v>7</v>
      </c>
      <c r="E19" s="29">
        <f t="shared" si="0"/>
        <v>2.1000000000000005</v>
      </c>
      <c r="F19" s="30"/>
      <c r="G19" s="31"/>
      <c r="H19" s="32"/>
      <c r="I19" s="33">
        <f t="shared" si="1"/>
        <v>2.1000000000000005</v>
      </c>
      <c r="J19" s="34">
        <v>4</v>
      </c>
      <c r="K19" s="35">
        <f>J19*0.08</f>
        <v>0.32</v>
      </c>
      <c r="L19" s="35">
        <v>13</v>
      </c>
      <c r="M19" s="36">
        <f>(64+92+74+80+88+2+20+65*2+70+60+70+107)*0.08/120</f>
        <v>0.5713333333333334</v>
      </c>
      <c r="N19" s="37">
        <f t="shared" si="2"/>
        <v>0.8913333333333333</v>
      </c>
      <c r="O19" s="31"/>
      <c r="P19" s="38">
        <v>0.30000000000000004</v>
      </c>
      <c r="Q19" s="38"/>
      <c r="R19" s="38"/>
      <c r="S19" s="39">
        <f>O19+P19+Q19+R19</f>
        <v>0.30000000000000004</v>
      </c>
      <c r="T19" s="32">
        <v>1</v>
      </c>
      <c r="U19" s="32"/>
      <c r="V19" s="40">
        <f t="shared" si="3"/>
        <v>1</v>
      </c>
      <c r="W19" s="41" t="s">
        <v>36</v>
      </c>
      <c r="X19" s="42">
        <f t="shared" si="4"/>
        <v>4.291333333333334</v>
      </c>
    </row>
    <row r="20" spans="1:24" ht="21.75" customHeight="1">
      <c r="A20" s="25" t="s">
        <v>51</v>
      </c>
      <c r="B20" s="26"/>
      <c r="C20" s="27"/>
      <c r="D20" s="28">
        <v>8</v>
      </c>
      <c r="E20" s="29">
        <f t="shared" si="0"/>
        <v>2.4000000000000004</v>
      </c>
      <c r="F20" s="30"/>
      <c r="G20" s="31"/>
      <c r="H20" s="32"/>
      <c r="I20" s="33">
        <f t="shared" si="1"/>
        <v>2.4000000000000004</v>
      </c>
      <c r="J20" s="34">
        <v>7</v>
      </c>
      <c r="K20" s="35">
        <f>J20*0.08</f>
        <v>0.56</v>
      </c>
      <c r="L20" s="35">
        <v>32</v>
      </c>
      <c r="M20" s="36">
        <f>(14+40+44+38+60+25+48+54+45+54+60+49+42+60+29+40*3+36+36+39+37+40+61+96+65+64+83+27+114+114+96)*0.08/120</f>
        <v>1.1266666666666665</v>
      </c>
      <c r="N20" s="37">
        <f t="shared" si="2"/>
        <v>1.6866666666666665</v>
      </c>
      <c r="O20" s="31"/>
      <c r="P20" s="38">
        <v>0.30000000000000004</v>
      </c>
      <c r="Q20" s="38"/>
      <c r="R20" s="38"/>
      <c r="S20" s="39">
        <f>O20+P20+Q20+R20</f>
        <v>0.30000000000000004</v>
      </c>
      <c r="T20" s="32"/>
      <c r="U20" s="32">
        <v>0.5</v>
      </c>
      <c r="V20" s="40">
        <f t="shared" si="3"/>
        <v>0.5</v>
      </c>
      <c r="W20" s="41" t="s">
        <v>36</v>
      </c>
      <c r="X20" s="42">
        <f t="shared" si="4"/>
        <v>4.886666666666667</v>
      </c>
    </row>
    <row r="21" spans="1:24" ht="21.75" customHeight="1">
      <c r="A21" s="25" t="s">
        <v>52</v>
      </c>
      <c r="B21" s="26"/>
      <c r="C21" s="27"/>
      <c r="D21" s="28">
        <v>9</v>
      </c>
      <c r="E21" s="29">
        <f t="shared" si="0"/>
        <v>2.7</v>
      </c>
      <c r="F21" s="30"/>
      <c r="G21" s="31"/>
      <c r="H21" s="32"/>
      <c r="I21" s="33">
        <f t="shared" si="1"/>
        <v>2.7</v>
      </c>
      <c r="J21" s="34"/>
      <c r="K21" s="35"/>
      <c r="L21" s="35">
        <v>12</v>
      </c>
      <c r="M21" s="36">
        <f>(75+72+78+78+81+75+40+104*4+109)*0.08/120</f>
        <v>0.6826666666666666</v>
      </c>
      <c r="N21" s="37">
        <f t="shared" si="2"/>
        <v>0.6826666666666666</v>
      </c>
      <c r="O21" s="31"/>
      <c r="P21" s="38">
        <v>0.6000000000000001</v>
      </c>
      <c r="Q21" s="38"/>
      <c r="R21" s="38"/>
      <c r="S21" s="39">
        <f>O21+P21+Q21+R21</f>
        <v>0.6000000000000001</v>
      </c>
      <c r="T21" s="32">
        <v>1</v>
      </c>
      <c r="U21" s="32"/>
      <c r="V21" s="40">
        <f t="shared" si="3"/>
        <v>1</v>
      </c>
      <c r="W21" s="41" t="s">
        <v>36</v>
      </c>
      <c r="X21" s="42">
        <f t="shared" si="4"/>
        <v>4.982666666666667</v>
      </c>
    </row>
    <row r="22" spans="1:24" ht="21.75" customHeight="1">
      <c r="A22" s="25" t="s">
        <v>53</v>
      </c>
      <c r="B22" s="26"/>
      <c r="C22" s="27"/>
      <c r="D22" s="28">
        <v>10</v>
      </c>
      <c r="E22" s="29">
        <f t="shared" si="0"/>
        <v>3.0000000000000004</v>
      </c>
      <c r="F22" s="30"/>
      <c r="G22" s="31">
        <v>0.5</v>
      </c>
      <c r="H22" s="32"/>
      <c r="I22" s="33">
        <f t="shared" si="1"/>
        <v>3.5000000000000004</v>
      </c>
      <c r="J22" s="34"/>
      <c r="K22" s="35"/>
      <c r="L22" s="35"/>
      <c r="M22" s="36"/>
      <c r="N22" s="37">
        <f t="shared" si="2"/>
        <v>0</v>
      </c>
      <c r="O22" s="31"/>
      <c r="P22" s="38"/>
      <c r="Q22" s="38"/>
      <c r="R22" s="38"/>
      <c r="S22" s="39"/>
      <c r="T22" s="32">
        <v>1</v>
      </c>
      <c r="U22" s="32"/>
      <c r="V22" s="40">
        <f t="shared" si="3"/>
        <v>1</v>
      </c>
      <c r="W22" s="41" t="s">
        <v>36</v>
      </c>
      <c r="X22" s="42">
        <f t="shared" si="4"/>
        <v>4.5</v>
      </c>
    </row>
    <row r="23" spans="1:24" ht="21.75" customHeight="1">
      <c r="A23" s="25" t="s">
        <v>54</v>
      </c>
      <c r="B23" s="26"/>
      <c r="C23" s="27"/>
      <c r="D23" s="28">
        <v>11</v>
      </c>
      <c r="E23" s="29">
        <f t="shared" si="0"/>
        <v>3.3000000000000007</v>
      </c>
      <c r="F23" s="30"/>
      <c r="G23" s="31"/>
      <c r="H23" s="32"/>
      <c r="I23" s="33">
        <f t="shared" si="1"/>
        <v>3.3000000000000007</v>
      </c>
      <c r="J23" s="34"/>
      <c r="K23" s="35"/>
      <c r="L23" s="35"/>
      <c r="M23" s="36"/>
      <c r="N23" s="37">
        <f t="shared" si="2"/>
        <v>0</v>
      </c>
      <c r="O23" s="31"/>
      <c r="P23" s="38"/>
      <c r="Q23" s="38"/>
      <c r="R23" s="38"/>
      <c r="S23" s="39"/>
      <c r="T23" s="32">
        <v>1</v>
      </c>
      <c r="U23" s="32"/>
      <c r="V23" s="40">
        <f t="shared" si="3"/>
        <v>1</v>
      </c>
      <c r="W23" s="41" t="s">
        <v>36</v>
      </c>
      <c r="X23" s="42">
        <f t="shared" si="4"/>
        <v>4.300000000000001</v>
      </c>
    </row>
    <row r="24" spans="1:24" ht="21.75" customHeight="1">
      <c r="A24" s="25" t="s">
        <v>57</v>
      </c>
      <c r="B24" s="26"/>
      <c r="C24" s="27"/>
      <c r="D24" s="28">
        <v>12</v>
      </c>
      <c r="E24" s="29">
        <f t="shared" si="0"/>
        <v>3.6000000000000005</v>
      </c>
      <c r="F24" s="30"/>
      <c r="G24" s="31"/>
      <c r="H24" s="32"/>
      <c r="I24" s="33">
        <f t="shared" si="1"/>
        <v>3.6000000000000005</v>
      </c>
      <c r="J24" s="34"/>
      <c r="K24" s="35"/>
      <c r="L24" s="35"/>
      <c r="M24" s="36"/>
      <c r="N24" s="37">
        <f t="shared" si="2"/>
        <v>0</v>
      </c>
      <c r="O24" s="31"/>
      <c r="P24" s="38"/>
      <c r="Q24" s="38"/>
      <c r="R24" s="38"/>
      <c r="S24" s="39"/>
      <c r="T24" s="32">
        <v>1</v>
      </c>
      <c r="U24" s="32"/>
      <c r="V24" s="40">
        <f t="shared" si="3"/>
        <v>1</v>
      </c>
      <c r="W24" s="41" t="s">
        <v>36</v>
      </c>
      <c r="X24" s="42">
        <f t="shared" si="4"/>
        <v>4.6000000000000005</v>
      </c>
    </row>
    <row r="25" spans="1:24" ht="21.75" customHeight="1">
      <c r="A25" s="25" t="s">
        <v>58</v>
      </c>
      <c r="B25" s="26"/>
      <c r="C25" s="27"/>
      <c r="D25" s="28">
        <v>13</v>
      </c>
      <c r="E25" s="29">
        <f t="shared" si="0"/>
        <v>3.9000000000000004</v>
      </c>
      <c r="F25" s="30"/>
      <c r="G25" s="31"/>
      <c r="H25" s="32"/>
      <c r="I25" s="33">
        <f t="shared" si="1"/>
        <v>3.9000000000000004</v>
      </c>
      <c r="J25" s="34"/>
      <c r="K25" s="35"/>
      <c r="L25" s="35">
        <v>4</v>
      </c>
      <c r="M25" s="36">
        <v>0</v>
      </c>
      <c r="N25" s="37">
        <f t="shared" si="2"/>
        <v>0</v>
      </c>
      <c r="O25" s="31"/>
      <c r="P25" s="38"/>
      <c r="Q25" s="38"/>
      <c r="R25" s="38"/>
      <c r="S25" s="39"/>
      <c r="T25" s="32">
        <v>1</v>
      </c>
      <c r="U25" s="32"/>
      <c r="V25" s="40">
        <f t="shared" si="3"/>
        <v>1</v>
      </c>
      <c r="W25" s="41" t="s">
        <v>36</v>
      </c>
      <c r="X25" s="42">
        <f t="shared" si="4"/>
        <v>4.9</v>
      </c>
    </row>
    <row r="26" spans="1:24" ht="21.75" customHeight="1">
      <c r="A26" s="25" t="s">
        <v>59</v>
      </c>
      <c r="B26" s="26"/>
      <c r="C26" s="27"/>
      <c r="D26" s="28">
        <v>14</v>
      </c>
      <c r="E26" s="29">
        <f t="shared" si="0"/>
        <v>4.200000000000001</v>
      </c>
      <c r="F26" s="30"/>
      <c r="G26" s="31"/>
      <c r="H26" s="32"/>
      <c r="I26" s="33">
        <f t="shared" si="1"/>
        <v>4.200000000000001</v>
      </c>
      <c r="J26" s="34"/>
      <c r="K26" s="35"/>
      <c r="L26" s="35"/>
      <c r="M26" s="36"/>
      <c r="N26" s="37">
        <f t="shared" si="2"/>
        <v>0</v>
      </c>
      <c r="O26" s="31"/>
      <c r="P26" s="38"/>
      <c r="Q26" s="38"/>
      <c r="R26" s="38"/>
      <c r="S26" s="39"/>
      <c r="T26" s="32">
        <v>1</v>
      </c>
      <c r="U26" s="32"/>
      <c r="V26" s="40">
        <f t="shared" si="3"/>
        <v>1</v>
      </c>
      <c r="W26" s="41" t="s">
        <v>36</v>
      </c>
      <c r="X26" s="42">
        <f t="shared" si="4"/>
        <v>5.200000000000001</v>
      </c>
    </row>
    <row r="27" spans="1:24" ht="21.75" customHeight="1">
      <c r="A27" s="25" t="s">
        <v>60</v>
      </c>
      <c r="B27" s="26"/>
      <c r="C27" s="27"/>
      <c r="D27" s="28">
        <v>15</v>
      </c>
      <c r="E27" s="29">
        <f t="shared" si="0"/>
        <v>4.500000000000001</v>
      </c>
      <c r="F27" s="30"/>
      <c r="G27" s="31"/>
      <c r="H27" s="32"/>
      <c r="I27" s="33">
        <f t="shared" si="1"/>
        <v>4.500000000000001</v>
      </c>
      <c r="J27" s="34"/>
      <c r="K27" s="35"/>
      <c r="L27" s="35"/>
      <c r="M27" s="36"/>
      <c r="N27" s="37">
        <f t="shared" si="2"/>
        <v>0</v>
      </c>
      <c r="O27" s="31"/>
      <c r="P27" s="38"/>
      <c r="Q27" s="38"/>
      <c r="R27" s="38"/>
      <c r="S27" s="39"/>
      <c r="T27" s="32">
        <v>1</v>
      </c>
      <c r="U27" s="32"/>
      <c r="V27" s="40">
        <f t="shared" si="3"/>
        <v>1</v>
      </c>
      <c r="W27" s="41" t="s">
        <v>36</v>
      </c>
      <c r="X27" s="42">
        <f t="shared" si="4"/>
        <v>5.500000000000001</v>
      </c>
    </row>
    <row r="28" spans="1:24" ht="21.75" customHeight="1">
      <c r="A28" s="25" t="s">
        <v>61</v>
      </c>
      <c r="B28" s="26"/>
      <c r="C28" s="27"/>
      <c r="D28" s="28">
        <v>16</v>
      </c>
      <c r="E28" s="29">
        <f t="shared" si="0"/>
        <v>4.800000000000001</v>
      </c>
      <c r="F28" s="30"/>
      <c r="G28" s="31"/>
      <c r="H28" s="32"/>
      <c r="I28" s="33">
        <f t="shared" si="1"/>
        <v>4.800000000000001</v>
      </c>
      <c r="J28" s="34"/>
      <c r="K28" s="35"/>
      <c r="L28" s="35"/>
      <c r="M28" s="36"/>
      <c r="N28" s="37">
        <f t="shared" si="2"/>
        <v>0</v>
      </c>
      <c r="O28" s="31"/>
      <c r="P28" s="38"/>
      <c r="Q28" s="38"/>
      <c r="R28" s="38"/>
      <c r="S28" s="39"/>
      <c r="T28" s="32">
        <v>1</v>
      </c>
      <c r="U28" s="32"/>
      <c r="V28" s="40">
        <f t="shared" si="3"/>
        <v>1</v>
      </c>
      <c r="W28" s="41" t="s">
        <v>36</v>
      </c>
      <c r="X28" s="42">
        <f t="shared" si="4"/>
        <v>5.800000000000001</v>
      </c>
    </row>
    <row r="29" spans="1:24" ht="21.75" customHeight="1">
      <c r="A29" s="25" t="s">
        <v>62</v>
      </c>
      <c r="B29" s="26"/>
      <c r="C29" s="27"/>
      <c r="D29" s="28">
        <v>17</v>
      </c>
      <c r="E29" s="29">
        <f t="shared" si="0"/>
        <v>5.1000000000000005</v>
      </c>
      <c r="F29" s="30"/>
      <c r="G29" s="31"/>
      <c r="H29" s="32"/>
      <c r="I29" s="33">
        <f t="shared" si="1"/>
        <v>5.1000000000000005</v>
      </c>
      <c r="J29" s="34"/>
      <c r="K29" s="35"/>
      <c r="L29" s="35"/>
      <c r="M29" s="36"/>
      <c r="N29" s="37">
        <f t="shared" si="2"/>
        <v>0</v>
      </c>
      <c r="O29" s="31"/>
      <c r="P29" s="38"/>
      <c r="Q29" s="38"/>
      <c r="R29" s="38"/>
      <c r="S29" s="39"/>
      <c r="T29" s="32">
        <v>1</v>
      </c>
      <c r="U29" s="32"/>
      <c r="V29" s="40">
        <f t="shared" si="3"/>
        <v>1</v>
      </c>
      <c r="W29" s="41" t="s">
        <v>36</v>
      </c>
      <c r="X29" s="42">
        <f t="shared" si="4"/>
        <v>6.1000000000000005</v>
      </c>
    </row>
    <row r="30" spans="1:24" ht="21.75" customHeight="1">
      <c r="A30" s="25" t="s">
        <v>63</v>
      </c>
      <c r="B30" s="26"/>
      <c r="C30" s="27"/>
      <c r="D30" s="28">
        <v>18</v>
      </c>
      <c r="E30" s="29">
        <f t="shared" si="0"/>
        <v>5.4</v>
      </c>
      <c r="F30" s="30"/>
      <c r="G30" s="31"/>
      <c r="H30" s="32"/>
      <c r="I30" s="33">
        <f t="shared" si="1"/>
        <v>5.4</v>
      </c>
      <c r="J30" s="34"/>
      <c r="K30" s="35"/>
      <c r="L30" s="35"/>
      <c r="M30" s="36"/>
      <c r="N30" s="37">
        <f t="shared" si="2"/>
        <v>0</v>
      </c>
      <c r="O30" s="31"/>
      <c r="P30" s="38"/>
      <c r="Q30" s="38"/>
      <c r="R30" s="38"/>
      <c r="S30" s="39"/>
      <c r="T30" s="32">
        <v>1</v>
      </c>
      <c r="U30" s="32"/>
      <c r="V30" s="40">
        <f t="shared" si="3"/>
        <v>1</v>
      </c>
      <c r="W30" s="41" t="s">
        <v>36</v>
      </c>
      <c r="X30" s="42">
        <f t="shared" si="4"/>
        <v>6.4</v>
      </c>
    </row>
    <row r="31" spans="1:24" ht="21.75" customHeight="1">
      <c r="A31" s="25" t="s">
        <v>64</v>
      </c>
      <c r="B31" s="26"/>
      <c r="C31" s="27"/>
      <c r="D31" s="28">
        <v>19</v>
      </c>
      <c r="E31" s="29">
        <f t="shared" si="0"/>
        <v>5.700000000000001</v>
      </c>
      <c r="F31" s="30"/>
      <c r="G31" s="31"/>
      <c r="H31" s="32"/>
      <c r="I31" s="33">
        <f t="shared" si="1"/>
        <v>5.700000000000001</v>
      </c>
      <c r="J31" s="34"/>
      <c r="K31" s="35"/>
      <c r="L31" s="35"/>
      <c r="M31" s="36"/>
      <c r="N31" s="37">
        <f t="shared" si="2"/>
        <v>0</v>
      </c>
      <c r="O31" s="31"/>
      <c r="P31" s="38"/>
      <c r="Q31" s="38"/>
      <c r="R31" s="38"/>
      <c r="S31" s="39"/>
      <c r="T31" s="32"/>
      <c r="U31" s="32">
        <v>0.5</v>
      </c>
      <c r="V31" s="40">
        <f t="shared" si="3"/>
        <v>0.5</v>
      </c>
      <c r="W31" s="41" t="s">
        <v>39</v>
      </c>
      <c r="X31" s="42">
        <f t="shared" si="4"/>
        <v>6.200000000000001</v>
      </c>
    </row>
  </sheetData>
  <sheetProtection selectLockedCells="1" selectUnlockedCells="1"/>
  <mergeCells count="35">
    <mergeCell ref="K9:K11"/>
    <mergeCell ref="L9:L11"/>
    <mergeCell ref="D8:F8"/>
    <mergeCell ref="J8:K8"/>
    <mergeCell ref="L8:M8"/>
    <mergeCell ref="P8:Q8"/>
    <mergeCell ref="N7:N11"/>
    <mergeCell ref="D9:D11"/>
    <mergeCell ref="E9:E11"/>
    <mergeCell ref="F9:F11"/>
    <mergeCell ref="G9:G11"/>
    <mergeCell ref="M9:M11"/>
    <mergeCell ref="O9:O11"/>
    <mergeCell ref="H9:H11"/>
    <mergeCell ref="J9:J11"/>
    <mergeCell ref="W7:W11"/>
    <mergeCell ref="X7:X11"/>
    <mergeCell ref="U8:U11"/>
    <mergeCell ref="P9:P11"/>
    <mergeCell ref="Q9:Q11"/>
    <mergeCell ref="R8:R11"/>
    <mergeCell ref="T8:T11"/>
    <mergeCell ref="O7:R7"/>
    <mergeCell ref="S7:S11"/>
    <mergeCell ref="T7:U7"/>
    <mergeCell ref="V7:V11"/>
    <mergeCell ref="A1:X1"/>
    <mergeCell ref="A2:X2"/>
    <mergeCell ref="A3:X3"/>
    <mergeCell ref="A7:A11"/>
    <mergeCell ref="B7:B11"/>
    <mergeCell ref="C7:C11"/>
    <mergeCell ref="D7:H7"/>
    <mergeCell ref="I7:I11"/>
    <mergeCell ref="J7:M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18"/>
  <sheetViews>
    <sheetView zoomScale="75" zoomScaleNormal="75" zoomScalePageLayoutView="0" workbookViewId="0" topLeftCell="A1">
      <selection activeCell="J16" sqref="J16"/>
    </sheetView>
  </sheetViews>
  <sheetFormatPr defaultColWidth="9.140625" defaultRowHeight="12.75" customHeight="1"/>
  <cols>
    <col min="1" max="1" width="5.28125" style="1" customWidth="1"/>
    <col min="2" max="2" width="26.421875" style="3" customWidth="1"/>
    <col min="3" max="3" width="11.28125" style="1" customWidth="1"/>
    <col min="4" max="6" width="11.28125" style="3" customWidth="1"/>
    <col min="7" max="7" width="14.28125" style="3" customWidth="1"/>
    <col min="8" max="8" width="14.421875" style="3" customWidth="1"/>
    <col min="9" max="9" width="11.28125" style="3" customWidth="1"/>
    <col min="10" max="10" width="12.57421875" style="4" customWidth="1"/>
    <col min="11" max="11" width="12.8515625" style="4" customWidth="1"/>
    <col min="12" max="12" width="12.421875" style="4" customWidth="1"/>
    <col min="13" max="13" width="14.140625" style="4" customWidth="1"/>
    <col min="14" max="14" width="11.28125" style="5" customWidth="1"/>
    <col min="15" max="15" width="11.28125" style="3" customWidth="1"/>
    <col min="16" max="16" width="11.28125" style="1" customWidth="1"/>
    <col min="17" max="17" width="11.28125" style="3" customWidth="1"/>
    <col min="18" max="18" width="14.421875" style="1" customWidth="1"/>
    <col min="19" max="19" width="11.28125" style="6" customWidth="1"/>
    <col min="20" max="20" width="11.28125" style="3" customWidth="1"/>
    <col min="21" max="21" width="13.57421875" style="3" customWidth="1"/>
    <col min="22" max="23" width="11.28125" style="3" customWidth="1"/>
    <col min="24" max="24" width="11.28125" style="7" customWidth="1"/>
    <col min="25" max="16384" width="9.140625" style="3" customWidth="1"/>
  </cols>
  <sheetData>
    <row r="1" spans="1:24" ht="15.7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51" ht="15.7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0" ht="15.75" customHeight="1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4" ht="21.75" customHeight="1">
      <c r="A4"/>
      <c r="B4" s="8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1:24" ht="21.75" customHeight="1">
      <c r="A5" s="10"/>
      <c r="B5" s="11" t="s">
        <v>65</v>
      </c>
      <c r="C5" s="12"/>
      <c r="D5" s="13"/>
      <c r="E5" s="13"/>
      <c r="F5" s="13"/>
      <c r="G5" s="13"/>
      <c r="H5" s="13"/>
      <c r="I5" s="13"/>
      <c r="J5" s="14"/>
      <c r="K5" s="14"/>
      <c r="L5" s="14"/>
      <c r="M5" s="14"/>
      <c r="N5" s="15"/>
      <c r="O5" s="13"/>
      <c r="P5" s="12"/>
      <c r="Q5" s="13"/>
      <c r="R5" s="12"/>
      <c r="S5" s="16"/>
      <c r="T5" s="10"/>
      <c r="U5" s="10"/>
      <c r="V5" s="10"/>
      <c r="W5" s="10"/>
      <c r="X5" s="17"/>
    </row>
    <row r="6" spans="1:24" ht="21.75" customHeight="1">
      <c r="A6" s="10"/>
      <c r="B6" s="18"/>
      <c r="C6" s="12"/>
      <c r="D6" s="13"/>
      <c r="E6" s="13"/>
      <c r="F6" s="13"/>
      <c r="G6" s="13"/>
      <c r="H6" s="13"/>
      <c r="I6" s="13"/>
      <c r="J6" s="14"/>
      <c r="K6" s="14"/>
      <c r="L6" s="14"/>
      <c r="M6" s="14"/>
      <c r="N6" s="15"/>
      <c r="O6" s="13"/>
      <c r="P6" s="12"/>
      <c r="Q6" s="13"/>
      <c r="R6" s="12"/>
      <c r="S6" s="16"/>
      <c r="T6" s="10"/>
      <c r="U6" s="10"/>
      <c r="V6" s="10"/>
      <c r="W6" s="10"/>
      <c r="X6" s="17"/>
    </row>
    <row r="7" spans="1:24" s="21" customFormat="1" ht="43.5" customHeight="1">
      <c r="A7" s="77" t="s">
        <v>3</v>
      </c>
      <c r="B7" s="78" t="s">
        <v>4</v>
      </c>
      <c r="C7" s="79" t="s">
        <v>5</v>
      </c>
      <c r="D7" s="65" t="s">
        <v>6</v>
      </c>
      <c r="E7" s="65"/>
      <c r="F7" s="65"/>
      <c r="G7" s="65"/>
      <c r="H7" s="65"/>
      <c r="I7" s="65" t="s">
        <v>7</v>
      </c>
      <c r="J7" s="99" t="s">
        <v>8</v>
      </c>
      <c r="K7" s="99"/>
      <c r="L7" s="99"/>
      <c r="M7" s="99"/>
      <c r="N7" s="105" t="s">
        <v>7</v>
      </c>
      <c r="O7" s="80" t="s">
        <v>9</v>
      </c>
      <c r="P7" s="80"/>
      <c r="Q7" s="80"/>
      <c r="R7" s="80"/>
      <c r="S7" s="104" t="s">
        <v>7</v>
      </c>
      <c r="T7" s="74" t="s">
        <v>10</v>
      </c>
      <c r="U7" s="74"/>
      <c r="V7" s="102" t="s">
        <v>7</v>
      </c>
      <c r="W7" s="74" t="s">
        <v>11</v>
      </c>
      <c r="X7" s="103" t="s">
        <v>12</v>
      </c>
    </row>
    <row r="8" spans="1:24" s="21" customFormat="1" ht="27" customHeight="1">
      <c r="A8" s="77"/>
      <c r="B8" s="78"/>
      <c r="C8" s="79"/>
      <c r="D8" s="65" t="s">
        <v>13</v>
      </c>
      <c r="E8" s="65"/>
      <c r="F8" s="65"/>
      <c r="G8" s="23" t="s">
        <v>14</v>
      </c>
      <c r="H8" s="23" t="s">
        <v>15</v>
      </c>
      <c r="I8" s="65"/>
      <c r="J8" s="99" t="s">
        <v>16</v>
      </c>
      <c r="K8" s="99"/>
      <c r="L8" s="99" t="s">
        <v>17</v>
      </c>
      <c r="M8" s="99"/>
      <c r="N8" s="105"/>
      <c r="O8" s="20"/>
      <c r="P8" s="80" t="s">
        <v>18</v>
      </c>
      <c r="Q8" s="80"/>
      <c r="R8" s="80" t="s">
        <v>19</v>
      </c>
      <c r="S8" s="104"/>
      <c r="T8" s="74" t="s">
        <v>20</v>
      </c>
      <c r="U8" s="74" t="s">
        <v>21</v>
      </c>
      <c r="V8" s="102"/>
      <c r="W8" s="74"/>
      <c r="X8" s="103"/>
    </row>
    <row r="9" spans="1:24" s="21" customFormat="1" ht="15.75" customHeight="1">
      <c r="A9" s="77"/>
      <c r="B9" s="78"/>
      <c r="C9" s="79"/>
      <c r="D9" s="65" t="s">
        <v>23</v>
      </c>
      <c r="E9" s="65" t="s">
        <v>24</v>
      </c>
      <c r="F9" s="65" t="s">
        <v>25</v>
      </c>
      <c r="G9" s="65" t="s">
        <v>26</v>
      </c>
      <c r="H9" s="65" t="s">
        <v>27</v>
      </c>
      <c r="I9" s="65"/>
      <c r="J9" s="99" t="s">
        <v>28</v>
      </c>
      <c r="K9" s="99" t="s">
        <v>66</v>
      </c>
      <c r="L9" s="99" t="s">
        <v>30</v>
      </c>
      <c r="M9" s="99" t="s">
        <v>67</v>
      </c>
      <c r="N9" s="105"/>
      <c r="O9" s="80" t="s">
        <v>32</v>
      </c>
      <c r="P9" s="80" t="s">
        <v>33</v>
      </c>
      <c r="Q9" s="80" t="s">
        <v>34</v>
      </c>
      <c r="R9" s="80"/>
      <c r="S9" s="104"/>
      <c r="T9" s="74"/>
      <c r="U9" s="74"/>
      <c r="V9" s="102"/>
      <c r="W9" s="74"/>
      <c r="X9" s="103"/>
    </row>
    <row r="10" spans="1:24" s="21" customFormat="1" ht="41.25" customHeight="1">
      <c r="A10" s="77"/>
      <c r="B10" s="78"/>
      <c r="C10" s="79"/>
      <c r="D10" s="65"/>
      <c r="E10" s="65"/>
      <c r="F10" s="65"/>
      <c r="G10" s="65"/>
      <c r="H10" s="65"/>
      <c r="I10" s="65"/>
      <c r="J10" s="99"/>
      <c r="K10" s="99"/>
      <c r="L10" s="99"/>
      <c r="M10" s="99"/>
      <c r="N10" s="105"/>
      <c r="O10" s="80"/>
      <c r="P10" s="80"/>
      <c r="Q10" s="80"/>
      <c r="R10" s="80"/>
      <c r="S10" s="104"/>
      <c r="T10" s="74"/>
      <c r="U10" s="74"/>
      <c r="V10" s="102"/>
      <c r="W10" s="74"/>
      <c r="X10" s="103"/>
    </row>
    <row r="11" spans="1:24" s="21" customFormat="1" ht="40.5" customHeight="1">
      <c r="A11" s="77"/>
      <c r="B11" s="78"/>
      <c r="C11" s="79"/>
      <c r="D11" s="65"/>
      <c r="E11" s="65"/>
      <c r="F11" s="65"/>
      <c r="G11" s="65"/>
      <c r="H11" s="65"/>
      <c r="I11" s="65"/>
      <c r="J11" s="99"/>
      <c r="K11" s="99"/>
      <c r="L11" s="99"/>
      <c r="M11" s="99"/>
      <c r="N11" s="105"/>
      <c r="O11" s="80"/>
      <c r="P11" s="80"/>
      <c r="Q11" s="80"/>
      <c r="R11" s="80"/>
      <c r="S11" s="104"/>
      <c r="T11" s="74"/>
      <c r="U11" s="74"/>
      <c r="V11" s="102"/>
      <c r="W11" s="74"/>
      <c r="X11" s="103"/>
    </row>
    <row r="12" spans="1:24" ht="21.75" customHeight="1">
      <c r="A12" s="25" t="s">
        <v>35</v>
      </c>
      <c r="B12" s="43"/>
      <c r="C12" s="27"/>
      <c r="D12" s="28">
        <v>0</v>
      </c>
      <c r="E12" s="29">
        <f aca="true" t="shared" si="0" ref="E12:E18">D12*0.3</f>
        <v>0</v>
      </c>
      <c r="F12" s="30"/>
      <c r="G12" s="31"/>
      <c r="H12" s="32"/>
      <c r="I12" s="33">
        <f aca="true" t="shared" si="1" ref="I12:I18">E12+G12+H12</f>
        <v>0</v>
      </c>
      <c r="J12" s="34">
        <v>30</v>
      </c>
      <c r="K12" s="35">
        <f>J12*0.08</f>
        <v>2.4</v>
      </c>
      <c r="L12" s="35">
        <v>30</v>
      </c>
      <c r="M12" s="36">
        <f>(109+75+115+81+114+102+72+90+114*4+115+71+69+73+72+76+79+88+84+91*3+94+88+117*4)*0.08/120</f>
        <v>1.9093333333333333</v>
      </c>
      <c r="N12" s="37">
        <f aca="true" t="shared" si="2" ref="N12:N18">K12+M12</f>
        <v>4.309333333333333</v>
      </c>
      <c r="O12" s="31"/>
      <c r="P12" s="38">
        <v>0.6000000000000001</v>
      </c>
      <c r="Q12" s="38">
        <v>0.5</v>
      </c>
      <c r="R12" s="38"/>
      <c r="S12" s="39">
        <f>O12+P12+Q12+R12</f>
        <v>1.1</v>
      </c>
      <c r="T12" s="32">
        <v>1</v>
      </c>
      <c r="U12" s="32"/>
      <c r="V12" s="40">
        <f aca="true" t="shared" si="3" ref="V12:V18">T12+U12</f>
        <v>1</v>
      </c>
      <c r="W12" s="41" t="s">
        <v>36</v>
      </c>
      <c r="X12" s="42">
        <f aca="true" t="shared" si="4" ref="X12:X18">I12+N12+S12+V12</f>
        <v>6.409333333333333</v>
      </c>
    </row>
    <row r="13" spans="1:24" ht="21.75" customHeight="1">
      <c r="A13" s="25" t="s">
        <v>37</v>
      </c>
      <c r="B13" s="26"/>
      <c r="C13" s="27"/>
      <c r="D13" s="28">
        <v>0</v>
      </c>
      <c r="E13" s="29">
        <f t="shared" si="0"/>
        <v>0</v>
      </c>
      <c r="F13" s="30"/>
      <c r="G13" s="31"/>
      <c r="H13" s="32"/>
      <c r="I13" s="33">
        <f t="shared" si="1"/>
        <v>0</v>
      </c>
      <c r="J13" s="34"/>
      <c r="K13" s="35"/>
      <c r="L13" s="35">
        <v>40</v>
      </c>
      <c r="M13" s="36">
        <f>(42+36+66+27+40+52+38+51+28+28+58+65+61+30+57+60*3+62+27+60+60+66+69+52+76+80+66+36+39+48+48+54+54+51+57+33+45)*0.08/120</f>
        <v>1.2946666666666669</v>
      </c>
      <c r="N13" s="37">
        <f t="shared" si="2"/>
        <v>1.2946666666666669</v>
      </c>
      <c r="O13" s="31"/>
      <c r="P13" s="38"/>
      <c r="Q13" s="38"/>
      <c r="R13" s="38"/>
      <c r="S13" s="39"/>
      <c r="T13" s="32">
        <v>1</v>
      </c>
      <c r="U13" s="32"/>
      <c r="V13" s="40">
        <f t="shared" si="3"/>
        <v>1</v>
      </c>
      <c r="W13" s="41" t="s">
        <v>36</v>
      </c>
      <c r="X13" s="42">
        <f t="shared" si="4"/>
        <v>2.294666666666667</v>
      </c>
    </row>
    <row r="14" spans="1:24" ht="21.75" customHeight="1">
      <c r="A14" s="25" t="s">
        <v>38</v>
      </c>
      <c r="B14" s="26"/>
      <c r="C14" s="27"/>
      <c r="D14" s="28">
        <v>0</v>
      </c>
      <c r="E14" s="29">
        <f t="shared" si="0"/>
        <v>0</v>
      </c>
      <c r="F14" s="30"/>
      <c r="G14" s="31"/>
      <c r="H14" s="32"/>
      <c r="I14" s="33">
        <f t="shared" si="1"/>
        <v>0</v>
      </c>
      <c r="J14" s="34">
        <v>7</v>
      </c>
      <c r="K14" s="35">
        <f>J14*0.08</f>
        <v>0.56</v>
      </c>
      <c r="L14" s="35">
        <v>5</v>
      </c>
      <c r="M14" s="36">
        <f>(45+117*4)*0.08/120</f>
        <v>0.34199999999999997</v>
      </c>
      <c r="N14" s="37">
        <f t="shared" si="2"/>
        <v>0.902</v>
      </c>
      <c r="O14" s="31"/>
      <c r="P14" s="38"/>
      <c r="Q14" s="38"/>
      <c r="R14" s="38"/>
      <c r="S14" s="39"/>
      <c r="T14" s="32">
        <v>1</v>
      </c>
      <c r="U14" s="32"/>
      <c r="V14" s="40">
        <f t="shared" si="3"/>
        <v>1</v>
      </c>
      <c r="W14" s="41" t="s">
        <v>36</v>
      </c>
      <c r="X14" s="42">
        <f t="shared" si="4"/>
        <v>1.9020000000000001</v>
      </c>
    </row>
    <row r="15" spans="1:24" ht="21.75" customHeight="1">
      <c r="A15" s="25" t="s">
        <v>40</v>
      </c>
      <c r="B15" s="26"/>
      <c r="C15" s="27"/>
      <c r="D15" s="28">
        <v>0</v>
      </c>
      <c r="E15" s="29">
        <f t="shared" si="0"/>
        <v>0</v>
      </c>
      <c r="F15" s="30"/>
      <c r="G15" s="31"/>
      <c r="H15" s="32"/>
      <c r="I15" s="33">
        <f t="shared" si="1"/>
        <v>0</v>
      </c>
      <c r="J15" s="34">
        <v>1</v>
      </c>
      <c r="K15" s="35">
        <f>J15*0.08</f>
        <v>0.08</v>
      </c>
      <c r="L15" s="35">
        <v>5</v>
      </c>
      <c r="M15" s="36">
        <f>(45+117*4)*0.08/120</f>
        <v>0.34199999999999997</v>
      </c>
      <c r="N15" s="37">
        <f t="shared" si="2"/>
        <v>0.422</v>
      </c>
      <c r="O15" s="31"/>
      <c r="P15" s="38"/>
      <c r="Q15" s="38"/>
      <c r="R15" s="38"/>
      <c r="S15" s="39"/>
      <c r="T15" s="32">
        <v>1</v>
      </c>
      <c r="U15" s="32"/>
      <c r="V15" s="40">
        <f t="shared" si="3"/>
        <v>1</v>
      </c>
      <c r="W15" s="41" t="s">
        <v>36</v>
      </c>
      <c r="X15" s="42">
        <f t="shared" si="4"/>
        <v>1.422</v>
      </c>
    </row>
    <row r="16" spans="1:24" ht="21.75" customHeight="1">
      <c r="A16" s="25" t="s">
        <v>41</v>
      </c>
      <c r="B16" s="26"/>
      <c r="C16" s="27"/>
      <c r="D16" s="28">
        <v>0</v>
      </c>
      <c r="E16" s="29">
        <f t="shared" si="0"/>
        <v>0</v>
      </c>
      <c r="F16" s="30"/>
      <c r="G16" s="31"/>
      <c r="H16" s="32"/>
      <c r="I16" s="33">
        <f t="shared" si="1"/>
        <v>0</v>
      </c>
      <c r="J16" s="34"/>
      <c r="K16" s="35"/>
      <c r="L16" s="35"/>
      <c r="M16" s="36"/>
      <c r="N16" s="37">
        <f t="shared" si="2"/>
        <v>0</v>
      </c>
      <c r="O16" s="31"/>
      <c r="P16" s="38">
        <v>0.30000000000000004</v>
      </c>
      <c r="Q16" s="38"/>
      <c r="R16" s="38"/>
      <c r="S16" s="39">
        <f>O16+P16+Q16+R16</f>
        <v>0.30000000000000004</v>
      </c>
      <c r="T16" s="32">
        <v>1</v>
      </c>
      <c r="U16" s="32"/>
      <c r="V16" s="40">
        <f t="shared" si="3"/>
        <v>1</v>
      </c>
      <c r="W16" s="41" t="s">
        <v>36</v>
      </c>
      <c r="X16" s="42">
        <f t="shared" si="4"/>
        <v>1.3</v>
      </c>
    </row>
    <row r="17" spans="1:24" ht="21.75" customHeight="1">
      <c r="A17" s="25" t="s">
        <v>42</v>
      </c>
      <c r="B17" s="26"/>
      <c r="C17" s="27"/>
      <c r="D17" s="28">
        <v>0</v>
      </c>
      <c r="E17" s="29">
        <f t="shared" si="0"/>
        <v>0</v>
      </c>
      <c r="F17" s="30"/>
      <c r="G17" s="31"/>
      <c r="H17" s="32"/>
      <c r="I17" s="33">
        <f t="shared" si="1"/>
        <v>0</v>
      </c>
      <c r="J17" s="34"/>
      <c r="K17" s="35"/>
      <c r="L17" s="35"/>
      <c r="M17" s="36"/>
      <c r="N17" s="37">
        <f t="shared" si="2"/>
        <v>0</v>
      </c>
      <c r="O17" s="31"/>
      <c r="P17" s="38"/>
      <c r="Q17" s="38"/>
      <c r="R17" s="38"/>
      <c r="S17" s="39"/>
      <c r="T17" s="32">
        <v>1</v>
      </c>
      <c r="U17" s="32"/>
      <c r="V17" s="40">
        <f t="shared" si="3"/>
        <v>1</v>
      </c>
      <c r="W17" s="41" t="s">
        <v>36</v>
      </c>
      <c r="X17" s="42">
        <f t="shared" si="4"/>
        <v>1</v>
      </c>
    </row>
    <row r="18" spans="1:24" ht="21.75" customHeight="1">
      <c r="A18" s="25" t="s">
        <v>43</v>
      </c>
      <c r="B18" s="26"/>
      <c r="C18" s="27"/>
      <c r="D18" s="28">
        <v>0</v>
      </c>
      <c r="E18" s="29">
        <f t="shared" si="0"/>
        <v>0</v>
      </c>
      <c r="F18" s="30"/>
      <c r="G18" s="31"/>
      <c r="H18" s="32"/>
      <c r="I18" s="33">
        <f t="shared" si="1"/>
        <v>0</v>
      </c>
      <c r="J18" s="34"/>
      <c r="K18" s="35"/>
      <c r="L18" s="35"/>
      <c r="M18" s="36"/>
      <c r="N18" s="37">
        <f t="shared" si="2"/>
        <v>0</v>
      </c>
      <c r="O18" s="31"/>
      <c r="P18" s="38"/>
      <c r="Q18" s="38"/>
      <c r="R18" s="38"/>
      <c r="S18" s="39"/>
      <c r="T18" s="32">
        <v>1</v>
      </c>
      <c r="U18" s="32"/>
      <c r="V18" s="40">
        <f t="shared" si="3"/>
        <v>1</v>
      </c>
      <c r="W18" s="41" t="s">
        <v>39</v>
      </c>
      <c r="X18" s="42">
        <f t="shared" si="4"/>
        <v>1</v>
      </c>
    </row>
  </sheetData>
  <sheetProtection selectLockedCells="1" selectUnlockedCells="1"/>
  <mergeCells count="35">
    <mergeCell ref="K9:K11"/>
    <mergeCell ref="L9:L11"/>
    <mergeCell ref="D8:F8"/>
    <mergeCell ref="J8:K8"/>
    <mergeCell ref="L8:M8"/>
    <mergeCell ref="P8:Q8"/>
    <mergeCell ref="N7:N11"/>
    <mergeCell ref="D9:D11"/>
    <mergeCell ref="E9:E11"/>
    <mergeCell ref="F9:F11"/>
    <mergeCell ref="G9:G11"/>
    <mergeCell ref="M9:M11"/>
    <mergeCell ref="O9:O11"/>
    <mergeCell ref="H9:H11"/>
    <mergeCell ref="J9:J11"/>
    <mergeCell ref="W7:W11"/>
    <mergeCell ref="X7:X11"/>
    <mergeCell ref="U8:U11"/>
    <mergeCell ref="P9:P11"/>
    <mergeCell ref="Q9:Q11"/>
    <mergeCell ref="R8:R11"/>
    <mergeCell ref="T8:T11"/>
    <mergeCell ref="O7:R7"/>
    <mergeCell ref="S7:S11"/>
    <mergeCell ref="T7:U7"/>
    <mergeCell ref="V7:V11"/>
    <mergeCell ref="A1:X1"/>
    <mergeCell ref="A2:X2"/>
    <mergeCell ref="A3:X3"/>
    <mergeCell ref="A7:A11"/>
    <mergeCell ref="B7:B11"/>
    <mergeCell ref="C7:C11"/>
    <mergeCell ref="D7:H7"/>
    <mergeCell ref="I7:I11"/>
    <mergeCell ref="J7:M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22"/>
  <sheetViews>
    <sheetView zoomScale="75" zoomScaleNormal="75" zoomScalePageLayoutView="0" workbookViewId="0" topLeftCell="A1">
      <selection activeCell="H26" sqref="H26"/>
    </sheetView>
  </sheetViews>
  <sheetFormatPr defaultColWidth="9.140625" defaultRowHeight="12.75" customHeight="1"/>
  <cols>
    <col min="1" max="1" width="5.28125" style="1" customWidth="1"/>
    <col min="2" max="2" width="30.00390625" style="3" customWidth="1"/>
    <col min="3" max="3" width="10.140625" style="1" customWidth="1"/>
    <col min="4" max="6" width="10.140625" style="3" customWidth="1"/>
    <col min="7" max="7" width="12.8515625" style="3" customWidth="1"/>
    <col min="8" max="8" width="12.28125" style="3" customWidth="1"/>
    <col min="9" max="9" width="10.140625" style="3" customWidth="1"/>
    <col min="10" max="10" width="13.140625" style="4" customWidth="1"/>
    <col min="11" max="11" width="13.00390625" style="4" customWidth="1"/>
    <col min="12" max="12" width="12.00390625" style="4" customWidth="1"/>
    <col min="13" max="13" width="12.57421875" style="4" customWidth="1"/>
    <col min="14" max="14" width="10.140625" style="5" customWidth="1"/>
    <col min="15" max="15" width="11.28125" style="3" customWidth="1"/>
    <col min="16" max="16" width="10.140625" style="1" customWidth="1"/>
    <col min="17" max="17" width="10.140625" style="3" customWidth="1"/>
    <col min="18" max="18" width="13.00390625" style="1" customWidth="1"/>
    <col min="19" max="19" width="10.140625" style="6" customWidth="1"/>
    <col min="20" max="20" width="11.140625" style="3" customWidth="1"/>
    <col min="21" max="21" width="11.7109375" style="3" customWidth="1"/>
    <col min="22" max="23" width="10.140625" style="3" customWidth="1"/>
    <col min="24" max="24" width="12.57421875" style="7" customWidth="1"/>
    <col min="25" max="16384" width="9.140625" style="3" customWidth="1"/>
  </cols>
  <sheetData>
    <row r="1" spans="1:24" ht="15.7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51" ht="15.7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0" ht="15.75" customHeight="1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4" ht="21.75" customHeight="1">
      <c r="A4"/>
      <c r="B4" s="8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1:24" ht="21.75" customHeight="1">
      <c r="A5" s="10"/>
      <c r="B5" s="11" t="s">
        <v>68</v>
      </c>
      <c r="C5" s="12"/>
      <c r="D5" s="13"/>
      <c r="E5" s="13"/>
      <c r="F5" s="13"/>
      <c r="G5" s="13"/>
      <c r="H5" s="13"/>
      <c r="I5" s="13"/>
      <c r="J5" s="14"/>
      <c r="K5" s="14"/>
      <c r="L5" s="14"/>
      <c r="M5" s="14"/>
      <c r="N5" s="15"/>
      <c r="O5" s="13"/>
      <c r="P5" s="12"/>
      <c r="Q5" s="13"/>
      <c r="R5" s="12"/>
      <c r="S5" s="16"/>
      <c r="T5" s="10"/>
      <c r="U5" s="10"/>
      <c r="V5" s="10"/>
      <c r="W5" s="10"/>
      <c r="X5" s="17"/>
    </row>
    <row r="6" spans="1:24" ht="21.75" customHeight="1">
      <c r="A6" s="10"/>
      <c r="B6" s="18"/>
      <c r="C6" s="12"/>
      <c r="D6" s="13"/>
      <c r="E6" s="13"/>
      <c r="F6" s="13"/>
      <c r="G6" s="13"/>
      <c r="H6" s="13"/>
      <c r="I6" s="13"/>
      <c r="J6" s="14"/>
      <c r="K6" s="14"/>
      <c r="L6" s="14"/>
      <c r="M6" s="14"/>
      <c r="N6" s="15"/>
      <c r="O6" s="13"/>
      <c r="P6" s="12"/>
      <c r="Q6" s="13"/>
      <c r="R6" s="12"/>
      <c r="S6" s="16"/>
      <c r="T6" s="10"/>
      <c r="U6" s="10"/>
      <c r="V6" s="10"/>
      <c r="W6" s="10"/>
      <c r="X6" s="17"/>
    </row>
    <row r="7" spans="1:24" s="21" customFormat="1" ht="43.5" customHeight="1">
      <c r="A7" s="77" t="s">
        <v>3</v>
      </c>
      <c r="B7" s="78" t="s">
        <v>4</v>
      </c>
      <c r="C7" s="79" t="s">
        <v>5</v>
      </c>
      <c r="D7" s="65" t="s">
        <v>6</v>
      </c>
      <c r="E7" s="65"/>
      <c r="F7" s="65"/>
      <c r="G7" s="65"/>
      <c r="H7" s="65"/>
      <c r="I7" s="65" t="s">
        <v>7</v>
      </c>
      <c r="J7" s="99" t="s">
        <v>8</v>
      </c>
      <c r="K7" s="99"/>
      <c r="L7" s="99"/>
      <c r="M7" s="99"/>
      <c r="N7" s="105" t="s">
        <v>7</v>
      </c>
      <c r="O7" s="80" t="s">
        <v>9</v>
      </c>
      <c r="P7" s="80"/>
      <c r="Q7" s="80"/>
      <c r="R7" s="80"/>
      <c r="S7" s="104" t="s">
        <v>7</v>
      </c>
      <c r="T7" s="74" t="s">
        <v>10</v>
      </c>
      <c r="U7" s="74"/>
      <c r="V7" s="102" t="s">
        <v>7</v>
      </c>
      <c r="W7" s="74" t="s">
        <v>11</v>
      </c>
      <c r="X7" s="103" t="s">
        <v>12</v>
      </c>
    </row>
    <row r="8" spans="1:24" s="21" customFormat="1" ht="27" customHeight="1">
      <c r="A8" s="77"/>
      <c r="B8" s="78"/>
      <c r="C8" s="79"/>
      <c r="D8" s="65" t="s">
        <v>13</v>
      </c>
      <c r="E8" s="65"/>
      <c r="F8" s="65"/>
      <c r="G8" s="23" t="s">
        <v>14</v>
      </c>
      <c r="H8" s="23" t="s">
        <v>15</v>
      </c>
      <c r="I8" s="65"/>
      <c r="J8" s="99" t="s">
        <v>16</v>
      </c>
      <c r="K8" s="99"/>
      <c r="L8" s="99" t="s">
        <v>17</v>
      </c>
      <c r="M8" s="99"/>
      <c r="N8" s="105"/>
      <c r="O8" s="20"/>
      <c r="P8" s="80" t="s">
        <v>18</v>
      </c>
      <c r="Q8" s="80"/>
      <c r="R8" s="80" t="s">
        <v>19</v>
      </c>
      <c r="S8" s="104"/>
      <c r="T8" s="74" t="s">
        <v>20</v>
      </c>
      <c r="U8" s="74" t="s">
        <v>21</v>
      </c>
      <c r="V8" s="102"/>
      <c r="W8" s="74"/>
      <c r="X8" s="103"/>
    </row>
    <row r="9" spans="1:24" s="21" customFormat="1" ht="15.75" customHeight="1">
      <c r="A9" s="77"/>
      <c r="B9" s="78"/>
      <c r="C9" s="79"/>
      <c r="D9" s="65" t="s">
        <v>23</v>
      </c>
      <c r="E9" s="65" t="s">
        <v>24</v>
      </c>
      <c r="F9" s="65" t="s">
        <v>25</v>
      </c>
      <c r="G9" s="65" t="s">
        <v>26</v>
      </c>
      <c r="H9" s="65" t="s">
        <v>27</v>
      </c>
      <c r="I9" s="65"/>
      <c r="J9" s="99" t="s">
        <v>28</v>
      </c>
      <c r="K9" s="99" t="s">
        <v>66</v>
      </c>
      <c r="L9" s="99" t="s">
        <v>30</v>
      </c>
      <c r="M9" s="99" t="s">
        <v>67</v>
      </c>
      <c r="N9" s="105"/>
      <c r="O9" s="80" t="s">
        <v>32</v>
      </c>
      <c r="P9" s="80" t="s">
        <v>33</v>
      </c>
      <c r="Q9" s="80" t="s">
        <v>34</v>
      </c>
      <c r="R9" s="80"/>
      <c r="S9" s="104"/>
      <c r="T9" s="74"/>
      <c r="U9" s="74"/>
      <c r="V9" s="102"/>
      <c r="W9" s="74"/>
      <c r="X9" s="103"/>
    </row>
    <row r="10" spans="1:24" s="21" customFormat="1" ht="41.25" customHeight="1">
      <c r="A10" s="77"/>
      <c r="B10" s="78"/>
      <c r="C10" s="79"/>
      <c r="D10" s="65"/>
      <c r="E10" s="65"/>
      <c r="F10" s="65"/>
      <c r="G10" s="65"/>
      <c r="H10" s="65"/>
      <c r="I10" s="65"/>
      <c r="J10" s="99"/>
      <c r="K10" s="99"/>
      <c r="L10" s="99"/>
      <c r="M10" s="99"/>
      <c r="N10" s="105"/>
      <c r="O10" s="80"/>
      <c r="P10" s="80"/>
      <c r="Q10" s="80"/>
      <c r="R10" s="80"/>
      <c r="S10" s="104"/>
      <c r="T10" s="74"/>
      <c r="U10" s="74"/>
      <c r="V10" s="102"/>
      <c r="W10" s="74"/>
      <c r="X10" s="103"/>
    </row>
    <row r="11" spans="1:24" s="21" customFormat="1" ht="40.5" customHeight="1">
      <c r="A11" s="77"/>
      <c r="B11" s="78"/>
      <c r="C11" s="79"/>
      <c r="D11" s="65"/>
      <c r="E11" s="65"/>
      <c r="F11" s="65"/>
      <c r="G11" s="65"/>
      <c r="H11" s="65"/>
      <c r="I11" s="65"/>
      <c r="J11" s="99"/>
      <c r="K11" s="99"/>
      <c r="L11" s="99"/>
      <c r="M11" s="99"/>
      <c r="N11" s="105"/>
      <c r="O11" s="80"/>
      <c r="P11" s="80"/>
      <c r="Q11" s="80"/>
      <c r="R11" s="80"/>
      <c r="S11" s="104"/>
      <c r="T11" s="74"/>
      <c r="U11" s="74"/>
      <c r="V11" s="102"/>
      <c r="W11" s="74"/>
      <c r="X11" s="103"/>
    </row>
    <row r="12" spans="1:24" ht="21.75" customHeight="1">
      <c r="A12" s="25" t="s">
        <v>35</v>
      </c>
      <c r="B12" s="26" t="s">
        <v>69</v>
      </c>
      <c r="C12" s="27"/>
      <c r="D12" s="28">
        <v>0</v>
      </c>
      <c r="E12" s="29">
        <f aca="true" t="shared" si="0" ref="E12:E22">D12*0.3</f>
        <v>0</v>
      </c>
      <c r="F12" s="30">
        <v>1991</v>
      </c>
      <c r="G12" s="31"/>
      <c r="H12" s="32"/>
      <c r="I12" s="33">
        <f aca="true" t="shared" si="1" ref="I12:I22">E12+G12+H12</f>
        <v>0</v>
      </c>
      <c r="J12" s="34">
        <v>14</v>
      </c>
      <c r="K12" s="35">
        <f>J12*0.08</f>
        <v>1.12</v>
      </c>
      <c r="L12" s="35">
        <v>27</v>
      </c>
      <c r="M12" s="36">
        <f>(18+90+102+114+108*2+10+115+75+24+96*8+48+18+72+54+45+117*4)*0.08/120</f>
        <v>1.4913333333333334</v>
      </c>
      <c r="N12" s="37">
        <f aca="true" t="shared" si="2" ref="N12:N22">K12+M12</f>
        <v>2.6113333333333335</v>
      </c>
      <c r="O12" s="31"/>
      <c r="P12" s="38"/>
      <c r="Q12" s="38"/>
      <c r="R12" s="38"/>
      <c r="S12" s="39"/>
      <c r="T12" s="32">
        <v>1</v>
      </c>
      <c r="U12" s="32"/>
      <c r="V12" s="40">
        <f aca="true" t="shared" si="3" ref="V12:V22">T12+U12</f>
        <v>1</v>
      </c>
      <c r="W12" s="41" t="s">
        <v>36</v>
      </c>
      <c r="X12" s="42">
        <f aca="true" t="shared" si="4" ref="X12:X22">I12+N12+S12+V12</f>
        <v>3.6113333333333335</v>
      </c>
    </row>
    <row r="13" spans="1:24" ht="21.75" customHeight="1">
      <c r="A13" s="25" t="s">
        <v>37</v>
      </c>
      <c r="B13" s="26"/>
      <c r="C13" s="27"/>
      <c r="D13" s="28">
        <v>0</v>
      </c>
      <c r="E13" s="29">
        <f t="shared" si="0"/>
        <v>0</v>
      </c>
      <c r="F13" s="30">
        <v>2006</v>
      </c>
      <c r="G13" s="31"/>
      <c r="H13" s="32"/>
      <c r="I13" s="33">
        <f t="shared" si="1"/>
        <v>0</v>
      </c>
      <c r="J13" s="34"/>
      <c r="K13" s="35"/>
      <c r="L13" s="35">
        <v>52</v>
      </c>
      <c r="M13" s="36">
        <f>(94*21+62+10+100*6+80+90+80+70+90*3+85*3+87+18+21+96+45+18+28+24+26*5)*0.08/120</f>
        <v>2.6386666666666665</v>
      </c>
      <c r="N13" s="37">
        <f t="shared" si="2"/>
        <v>2.6386666666666665</v>
      </c>
      <c r="O13" s="31"/>
      <c r="P13" s="38"/>
      <c r="Q13" s="38"/>
      <c r="R13" s="38"/>
      <c r="S13" s="39"/>
      <c r="T13" s="32">
        <v>1</v>
      </c>
      <c r="U13" s="32"/>
      <c r="V13" s="40">
        <f t="shared" si="3"/>
        <v>1</v>
      </c>
      <c r="W13" s="41" t="s">
        <v>36</v>
      </c>
      <c r="X13" s="42">
        <f t="shared" si="4"/>
        <v>3.6386666666666665</v>
      </c>
    </row>
    <row r="14" spans="1:24" ht="21.75" customHeight="1">
      <c r="A14" s="25" t="s">
        <v>38</v>
      </c>
      <c r="B14" s="26"/>
      <c r="C14" s="27"/>
      <c r="D14" s="28">
        <v>0</v>
      </c>
      <c r="E14" s="29">
        <f t="shared" si="0"/>
        <v>0</v>
      </c>
      <c r="F14" s="30">
        <v>1994</v>
      </c>
      <c r="G14" s="31"/>
      <c r="H14" s="32"/>
      <c r="I14" s="33">
        <f t="shared" si="1"/>
        <v>0</v>
      </c>
      <c r="J14" s="34"/>
      <c r="K14" s="35"/>
      <c r="L14" s="35">
        <v>60</v>
      </c>
      <c r="M14" s="36">
        <f>(20+20+41+38+35+40+30+33+20+60+22+74+78+98+100+96+90*4+97+88+60+105+100*9+91+78+100+80+80+50+61+70+25+24+27+21+27+24+24+24+27+21+78+88+84+80+80+84+76+44+48)*0.08/120</f>
        <v>2.6206666666666667</v>
      </c>
      <c r="N14" s="37">
        <f t="shared" si="2"/>
        <v>2.6206666666666667</v>
      </c>
      <c r="O14" s="31"/>
      <c r="P14" s="38"/>
      <c r="Q14" s="38"/>
      <c r="R14" s="38"/>
      <c r="S14" s="39"/>
      <c r="T14" s="32">
        <v>1</v>
      </c>
      <c r="U14" s="32"/>
      <c r="V14" s="40">
        <f t="shared" si="3"/>
        <v>1</v>
      </c>
      <c r="W14" s="41" t="s">
        <v>39</v>
      </c>
      <c r="X14" s="42">
        <f t="shared" si="4"/>
        <v>3.6206666666666667</v>
      </c>
    </row>
    <row r="15" spans="1:24" ht="21.75" customHeight="1">
      <c r="A15" s="25" t="s">
        <v>40</v>
      </c>
      <c r="B15" s="26"/>
      <c r="C15" s="27"/>
      <c r="D15" s="28">
        <v>0</v>
      </c>
      <c r="E15" s="29">
        <f t="shared" si="0"/>
        <v>0</v>
      </c>
      <c r="F15" s="30">
        <v>1992</v>
      </c>
      <c r="G15" s="31"/>
      <c r="H15" s="32"/>
      <c r="I15" s="33">
        <f t="shared" si="1"/>
        <v>0</v>
      </c>
      <c r="J15" s="35">
        <v>6</v>
      </c>
      <c r="K15" s="35">
        <f>J15*0.08</f>
        <v>0.48</v>
      </c>
      <c r="L15" s="35">
        <v>43</v>
      </c>
      <c r="M15" s="36">
        <f>(78+36+42+72+75+57+69+69+81+18+103+117+112+108+90+108+108+103+55+115+75+30+60+64+87+72+21+45+52+44+13+48+48+44+48+52+24+30+60+60+60+60+30)*0.08/120</f>
        <v>1.8286666666666667</v>
      </c>
      <c r="N15" s="37">
        <f t="shared" si="2"/>
        <v>2.3086666666666664</v>
      </c>
      <c r="O15" s="31"/>
      <c r="P15" s="38"/>
      <c r="Q15" s="38"/>
      <c r="R15" s="38"/>
      <c r="S15" s="39"/>
      <c r="T15" s="32">
        <v>1</v>
      </c>
      <c r="U15" s="32"/>
      <c r="V15" s="40">
        <f t="shared" si="3"/>
        <v>1</v>
      </c>
      <c r="W15" s="41" t="s">
        <v>36</v>
      </c>
      <c r="X15" s="42">
        <f t="shared" si="4"/>
        <v>3.3086666666666664</v>
      </c>
    </row>
    <row r="16" spans="1:24" ht="21.75" customHeight="1">
      <c r="A16" s="25" t="s">
        <v>41</v>
      </c>
      <c r="B16" s="26"/>
      <c r="C16" s="27"/>
      <c r="D16" s="28">
        <v>0</v>
      </c>
      <c r="E16" s="29">
        <f t="shared" si="0"/>
        <v>0</v>
      </c>
      <c r="F16" s="30">
        <v>2000</v>
      </c>
      <c r="G16" s="31"/>
      <c r="H16" s="32"/>
      <c r="I16" s="33">
        <f t="shared" si="1"/>
        <v>0</v>
      </c>
      <c r="J16" s="34">
        <v>8</v>
      </c>
      <c r="K16" s="35">
        <f>J16*0.08</f>
        <v>0.64</v>
      </c>
      <c r="L16" s="35">
        <v>32</v>
      </c>
      <c r="M16" s="36">
        <f>(225+170+84+503+48+114+114+18+90+102+114+108+108+55+115+115+75)*0.08/120</f>
        <v>1.4386666666666668</v>
      </c>
      <c r="N16" s="37">
        <f t="shared" si="2"/>
        <v>2.078666666666667</v>
      </c>
      <c r="O16" s="31"/>
      <c r="P16" s="38"/>
      <c r="Q16" s="38"/>
      <c r="R16" s="38"/>
      <c r="S16" s="39"/>
      <c r="T16" s="32">
        <v>1</v>
      </c>
      <c r="U16" s="32"/>
      <c r="V16" s="40">
        <f t="shared" si="3"/>
        <v>1</v>
      </c>
      <c r="W16" s="41" t="s">
        <v>36</v>
      </c>
      <c r="X16" s="42">
        <f t="shared" si="4"/>
        <v>3.078666666666667</v>
      </c>
    </row>
    <row r="17" spans="1:24" ht="21.75" customHeight="1">
      <c r="A17" s="25" t="s">
        <v>42</v>
      </c>
      <c r="B17" s="26"/>
      <c r="C17" s="27"/>
      <c r="D17" s="28">
        <v>0</v>
      </c>
      <c r="E17" s="29">
        <f t="shared" si="0"/>
        <v>0</v>
      </c>
      <c r="F17" s="30">
        <v>1992</v>
      </c>
      <c r="G17" s="31"/>
      <c r="H17" s="32"/>
      <c r="I17" s="33">
        <f t="shared" si="1"/>
        <v>0</v>
      </c>
      <c r="J17" s="34"/>
      <c r="K17" s="35"/>
      <c r="L17" s="35">
        <v>27</v>
      </c>
      <c r="M17" s="36">
        <f>(11+26+24*3+27+24+15+70+90+92+85+80+85+80+92+25+18+72+20+387)*0.08/120</f>
        <v>0.914</v>
      </c>
      <c r="N17" s="37">
        <f t="shared" si="2"/>
        <v>0.914</v>
      </c>
      <c r="O17" s="31"/>
      <c r="P17" s="38">
        <v>0.30000000000000004</v>
      </c>
      <c r="Q17" s="38"/>
      <c r="R17" s="38"/>
      <c r="S17" s="39">
        <f>O17+P17+Q17+R17</f>
        <v>0.30000000000000004</v>
      </c>
      <c r="T17" s="32">
        <v>1</v>
      </c>
      <c r="U17" s="32"/>
      <c r="V17" s="40">
        <f t="shared" si="3"/>
        <v>1</v>
      </c>
      <c r="W17" s="41" t="s">
        <v>36</v>
      </c>
      <c r="X17" s="42">
        <f t="shared" si="4"/>
        <v>2.214</v>
      </c>
    </row>
    <row r="18" spans="1:24" ht="21.75" customHeight="1">
      <c r="A18" s="25" t="s">
        <v>43</v>
      </c>
      <c r="B18" s="26"/>
      <c r="C18" s="27"/>
      <c r="D18" s="28">
        <v>0</v>
      </c>
      <c r="E18" s="29">
        <f t="shared" si="0"/>
        <v>0</v>
      </c>
      <c r="F18" s="30">
        <v>2004</v>
      </c>
      <c r="G18" s="31"/>
      <c r="H18" s="32"/>
      <c r="I18" s="33">
        <f t="shared" si="1"/>
        <v>0</v>
      </c>
      <c r="J18" s="34"/>
      <c r="K18" s="35"/>
      <c r="L18" s="35">
        <v>12</v>
      </c>
      <c r="M18" s="36">
        <f>(75+72+78+78+81+75+40+104*4+109)*0.08/120</f>
        <v>0.6826666666666666</v>
      </c>
      <c r="N18" s="37">
        <f t="shared" si="2"/>
        <v>0.6826666666666666</v>
      </c>
      <c r="O18" s="31"/>
      <c r="P18" s="38">
        <v>0.6000000000000001</v>
      </c>
      <c r="Q18" s="38"/>
      <c r="R18" s="38"/>
      <c r="S18" s="39">
        <f>O18+P18+Q18+R18</f>
        <v>0.6000000000000001</v>
      </c>
      <c r="T18" s="32">
        <v>1</v>
      </c>
      <c r="U18" s="32"/>
      <c r="V18" s="40">
        <f t="shared" si="3"/>
        <v>1</v>
      </c>
      <c r="W18" s="41" t="s">
        <v>36</v>
      </c>
      <c r="X18" s="42">
        <f t="shared" si="4"/>
        <v>2.2826666666666666</v>
      </c>
    </row>
    <row r="19" spans="1:24" ht="21.75" customHeight="1">
      <c r="A19" s="25" t="s">
        <v>50</v>
      </c>
      <c r="B19" s="26"/>
      <c r="C19" s="27"/>
      <c r="D19" s="28">
        <v>0</v>
      </c>
      <c r="E19" s="29">
        <f t="shared" si="0"/>
        <v>0</v>
      </c>
      <c r="F19" s="30">
        <v>2013</v>
      </c>
      <c r="G19" s="31"/>
      <c r="H19" s="32"/>
      <c r="I19" s="33">
        <f t="shared" si="1"/>
        <v>0</v>
      </c>
      <c r="J19" s="34"/>
      <c r="K19" s="35"/>
      <c r="L19" s="35">
        <v>6</v>
      </c>
      <c r="M19" s="36">
        <f>(87+84+91+91+94+88)*0.08/120</f>
        <v>0.3566666666666667</v>
      </c>
      <c r="N19" s="37">
        <f t="shared" si="2"/>
        <v>0.3566666666666667</v>
      </c>
      <c r="O19" s="31"/>
      <c r="P19" s="38"/>
      <c r="Q19" s="38"/>
      <c r="R19" s="38"/>
      <c r="S19" s="39"/>
      <c r="T19" s="32">
        <v>1</v>
      </c>
      <c r="U19" s="32"/>
      <c r="V19" s="40">
        <f t="shared" si="3"/>
        <v>1</v>
      </c>
      <c r="W19" s="41" t="s">
        <v>36</v>
      </c>
      <c r="X19" s="42">
        <f t="shared" si="4"/>
        <v>1.3566666666666667</v>
      </c>
    </row>
    <row r="20" spans="1:24" ht="21.75" customHeight="1">
      <c r="A20" s="25" t="s">
        <v>51</v>
      </c>
      <c r="B20" s="26"/>
      <c r="C20" s="27"/>
      <c r="D20" s="28">
        <v>0</v>
      </c>
      <c r="E20" s="29">
        <f t="shared" si="0"/>
        <v>0</v>
      </c>
      <c r="F20" s="30">
        <v>2014</v>
      </c>
      <c r="G20" s="31"/>
      <c r="H20" s="32"/>
      <c r="I20" s="33">
        <f t="shared" si="1"/>
        <v>0</v>
      </c>
      <c r="J20" s="34"/>
      <c r="K20" s="35"/>
      <c r="L20" s="35"/>
      <c r="M20" s="36"/>
      <c r="N20" s="37">
        <f t="shared" si="2"/>
        <v>0</v>
      </c>
      <c r="O20" s="31"/>
      <c r="P20" s="38"/>
      <c r="Q20" s="38"/>
      <c r="R20" s="38"/>
      <c r="S20" s="39"/>
      <c r="T20" s="32">
        <v>1</v>
      </c>
      <c r="U20" s="32"/>
      <c r="V20" s="40">
        <f t="shared" si="3"/>
        <v>1</v>
      </c>
      <c r="W20" s="41" t="s">
        <v>36</v>
      </c>
      <c r="X20" s="42">
        <f t="shared" si="4"/>
        <v>1</v>
      </c>
    </row>
    <row r="21" spans="1:24" ht="21.75" customHeight="1">
      <c r="A21" s="25" t="s">
        <v>52</v>
      </c>
      <c r="B21" s="26"/>
      <c r="C21" s="27"/>
      <c r="D21" s="28">
        <v>0</v>
      </c>
      <c r="E21" s="29">
        <f t="shared" si="0"/>
        <v>0</v>
      </c>
      <c r="F21" s="30">
        <v>2014</v>
      </c>
      <c r="G21" s="31"/>
      <c r="H21" s="32"/>
      <c r="I21" s="33">
        <f t="shared" si="1"/>
        <v>0</v>
      </c>
      <c r="J21" s="34"/>
      <c r="K21" s="35"/>
      <c r="L21" s="35"/>
      <c r="M21" s="36"/>
      <c r="N21" s="37">
        <f t="shared" si="2"/>
        <v>0</v>
      </c>
      <c r="O21" s="31"/>
      <c r="P21" s="38"/>
      <c r="Q21" s="38"/>
      <c r="R21" s="38"/>
      <c r="S21" s="39"/>
      <c r="T21" s="32">
        <v>1</v>
      </c>
      <c r="U21" s="32"/>
      <c r="V21" s="40">
        <f t="shared" si="3"/>
        <v>1</v>
      </c>
      <c r="W21" s="41" t="s">
        <v>36</v>
      </c>
      <c r="X21" s="42">
        <f t="shared" si="4"/>
        <v>1</v>
      </c>
    </row>
    <row r="22" spans="1:24" ht="21.75" customHeight="1">
      <c r="A22" s="25" t="s">
        <v>53</v>
      </c>
      <c r="B22" s="26"/>
      <c r="C22" s="27"/>
      <c r="D22" s="28">
        <v>0</v>
      </c>
      <c r="E22" s="29">
        <f t="shared" si="0"/>
        <v>0</v>
      </c>
      <c r="F22" s="30">
        <v>2003</v>
      </c>
      <c r="G22" s="31"/>
      <c r="H22" s="32"/>
      <c r="I22" s="33">
        <f t="shared" si="1"/>
        <v>0</v>
      </c>
      <c r="J22" s="34"/>
      <c r="K22" s="35"/>
      <c r="L22" s="35"/>
      <c r="M22" s="36"/>
      <c r="N22" s="37">
        <f t="shared" si="2"/>
        <v>0</v>
      </c>
      <c r="O22" s="31"/>
      <c r="P22" s="38"/>
      <c r="Q22" s="38"/>
      <c r="R22" s="38"/>
      <c r="S22" s="39"/>
      <c r="T22" s="32"/>
      <c r="U22" s="32">
        <v>0.5</v>
      </c>
      <c r="V22" s="40">
        <f t="shared" si="3"/>
        <v>0.5</v>
      </c>
      <c r="W22" s="41" t="s">
        <v>39</v>
      </c>
      <c r="X22" s="42">
        <f t="shared" si="4"/>
        <v>0.5</v>
      </c>
    </row>
  </sheetData>
  <sheetProtection selectLockedCells="1" selectUnlockedCells="1"/>
  <mergeCells count="35">
    <mergeCell ref="K9:K11"/>
    <mergeCell ref="L9:L11"/>
    <mergeCell ref="D8:F8"/>
    <mergeCell ref="J8:K8"/>
    <mergeCell ref="L8:M8"/>
    <mergeCell ref="P8:Q8"/>
    <mergeCell ref="N7:N11"/>
    <mergeCell ref="D9:D11"/>
    <mergeCell ref="E9:E11"/>
    <mergeCell ref="F9:F11"/>
    <mergeCell ref="G9:G11"/>
    <mergeCell ref="M9:M11"/>
    <mergeCell ref="O9:O11"/>
    <mergeCell ref="H9:H11"/>
    <mergeCell ref="J9:J11"/>
    <mergeCell ref="W7:W11"/>
    <mergeCell ref="X7:X11"/>
    <mergeCell ref="U8:U11"/>
    <mergeCell ref="P9:P11"/>
    <mergeCell ref="Q9:Q11"/>
    <mergeCell ref="R8:R11"/>
    <mergeCell ref="T8:T11"/>
    <mergeCell ref="O7:R7"/>
    <mergeCell ref="S7:S11"/>
    <mergeCell ref="T7:U7"/>
    <mergeCell ref="V7:V11"/>
    <mergeCell ref="A1:X1"/>
    <mergeCell ref="A2:X2"/>
    <mergeCell ref="A3:X3"/>
    <mergeCell ref="A7:A11"/>
    <mergeCell ref="B7:B11"/>
    <mergeCell ref="C7:C11"/>
    <mergeCell ref="D7:H7"/>
    <mergeCell ref="I7:I11"/>
    <mergeCell ref="J7:M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27"/>
  <sheetViews>
    <sheetView zoomScale="75" zoomScaleNormal="75" zoomScalePageLayoutView="0" workbookViewId="0" topLeftCell="A3">
      <selection activeCell="J19" sqref="J19"/>
    </sheetView>
  </sheetViews>
  <sheetFormatPr defaultColWidth="9.140625" defaultRowHeight="12.75" customHeight="1"/>
  <cols>
    <col min="1" max="1" width="5.28125" style="1" customWidth="1"/>
    <col min="2" max="2" width="32.421875" style="3" customWidth="1"/>
    <col min="3" max="3" width="11.140625" style="1" customWidth="1"/>
    <col min="4" max="4" width="9.57421875" style="3" customWidth="1"/>
    <col min="5" max="6" width="11.140625" style="3" customWidth="1"/>
    <col min="7" max="8" width="13.00390625" style="3" customWidth="1"/>
    <col min="9" max="9" width="11.140625" style="3" customWidth="1"/>
    <col min="10" max="12" width="12.28125" style="4" customWidth="1"/>
    <col min="13" max="13" width="13.00390625" style="4" customWidth="1"/>
    <col min="14" max="14" width="11.140625" style="5" customWidth="1"/>
    <col min="15" max="15" width="11.140625" style="3" customWidth="1"/>
    <col min="16" max="16" width="11.140625" style="1" customWidth="1"/>
    <col min="17" max="17" width="11.140625" style="3" customWidth="1"/>
    <col min="18" max="18" width="12.57421875" style="1" customWidth="1"/>
    <col min="19" max="19" width="8.8515625" style="6" customWidth="1"/>
    <col min="20" max="20" width="11.140625" style="3" customWidth="1"/>
    <col min="21" max="21" width="13.7109375" style="3" customWidth="1"/>
    <col min="22" max="22" width="10.140625" style="3" customWidth="1"/>
    <col min="23" max="23" width="11.140625" style="3" customWidth="1"/>
    <col min="24" max="24" width="14.140625" style="7" customWidth="1"/>
    <col min="25" max="16384" width="9.140625" style="3" customWidth="1"/>
  </cols>
  <sheetData>
    <row r="1" spans="1:24" ht="13.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51" ht="12.7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0" ht="13.5" customHeight="1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4" ht="21.75" customHeight="1">
      <c r="A4"/>
      <c r="B4" s="8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1:24" ht="21.75" customHeight="1">
      <c r="A5" s="10"/>
      <c r="B5" s="11" t="s">
        <v>70</v>
      </c>
      <c r="C5" s="12"/>
      <c r="D5" s="13"/>
      <c r="E5" s="13"/>
      <c r="F5" s="13"/>
      <c r="G5" s="13"/>
      <c r="H5" s="13"/>
      <c r="I5" s="13"/>
      <c r="J5" s="14"/>
      <c r="K5" s="14"/>
      <c r="L5" s="14"/>
      <c r="M5" s="14"/>
      <c r="N5" s="15"/>
      <c r="O5" s="13"/>
      <c r="P5" s="12"/>
      <c r="Q5" s="13"/>
      <c r="R5" s="12"/>
      <c r="S5" s="16"/>
      <c r="T5" s="10"/>
      <c r="U5" s="10"/>
      <c r="V5" s="10"/>
      <c r="W5" s="10"/>
      <c r="X5" s="17"/>
    </row>
    <row r="6" spans="1:24" ht="21.75" customHeight="1">
      <c r="A6" s="10"/>
      <c r="B6" s="18"/>
      <c r="C6" s="12"/>
      <c r="D6" s="13"/>
      <c r="E6" s="13"/>
      <c r="F6" s="13"/>
      <c r="G6" s="13"/>
      <c r="H6" s="13"/>
      <c r="I6" s="13"/>
      <c r="J6" s="14"/>
      <c r="K6" s="14"/>
      <c r="L6" s="14"/>
      <c r="M6" s="14"/>
      <c r="N6" s="15"/>
      <c r="O6" s="13"/>
      <c r="P6" s="12"/>
      <c r="Q6" s="13"/>
      <c r="R6" s="12"/>
      <c r="S6" s="16"/>
      <c r="T6" s="10"/>
      <c r="U6" s="10"/>
      <c r="V6" s="10"/>
      <c r="W6" s="10"/>
      <c r="X6" s="17"/>
    </row>
    <row r="7" spans="1:24" s="21" customFormat="1" ht="43.5" customHeight="1">
      <c r="A7" s="77" t="s">
        <v>3</v>
      </c>
      <c r="B7" s="78" t="s">
        <v>4</v>
      </c>
      <c r="C7" s="79" t="s">
        <v>5</v>
      </c>
      <c r="D7" s="65" t="s">
        <v>6</v>
      </c>
      <c r="E7" s="65"/>
      <c r="F7" s="65"/>
      <c r="G7" s="65"/>
      <c r="H7" s="65"/>
      <c r="I7" s="65" t="s">
        <v>7</v>
      </c>
      <c r="J7" s="99" t="s">
        <v>8</v>
      </c>
      <c r="K7" s="99"/>
      <c r="L7" s="99"/>
      <c r="M7" s="99"/>
      <c r="N7" s="105" t="s">
        <v>7</v>
      </c>
      <c r="O7" s="80" t="s">
        <v>9</v>
      </c>
      <c r="P7" s="80"/>
      <c r="Q7" s="80"/>
      <c r="R7" s="80"/>
      <c r="S7" s="104" t="s">
        <v>7</v>
      </c>
      <c r="T7" s="74" t="s">
        <v>10</v>
      </c>
      <c r="U7" s="74"/>
      <c r="V7" s="102" t="s">
        <v>7</v>
      </c>
      <c r="W7" s="74" t="s">
        <v>11</v>
      </c>
      <c r="X7" s="103" t="s">
        <v>12</v>
      </c>
    </row>
    <row r="8" spans="1:24" s="21" customFormat="1" ht="27" customHeight="1">
      <c r="A8" s="77"/>
      <c r="B8" s="78"/>
      <c r="C8" s="79"/>
      <c r="D8" s="65" t="s">
        <v>13</v>
      </c>
      <c r="E8" s="65"/>
      <c r="F8" s="65"/>
      <c r="G8" s="23" t="s">
        <v>14</v>
      </c>
      <c r="H8" s="23" t="s">
        <v>15</v>
      </c>
      <c r="I8" s="65"/>
      <c r="J8" s="99" t="s">
        <v>16</v>
      </c>
      <c r="K8" s="99"/>
      <c r="L8" s="99" t="s">
        <v>17</v>
      </c>
      <c r="M8" s="99"/>
      <c r="N8" s="105"/>
      <c r="O8" s="20"/>
      <c r="P8" s="80" t="s">
        <v>18</v>
      </c>
      <c r="Q8" s="80"/>
      <c r="R8" s="80" t="s">
        <v>19</v>
      </c>
      <c r="S8" s="104"/>
      <c r="T8" s="74" t="s">
        <v>20</v>
      </c>
      <c r="U8" s="74" t="s">
        <v>21</v>
      </c>
      <c r="V8" s="102"/>
      <c r="W8" s="74"/>
      <c r="X8" s="103"/>
    </row>
    <row r="9" spans="1:24" s="21" customFormat="1" ht="15.75" customHeight="1">
      <c r="A9" s="77"/>
      <c r="B9" s="78"/>
      <c r="C9" s="79"/>
      <c r="D9" s="65" t="s">
        <v>23</v>
      </c>
      <c r="E9" s="65" t="s">
        <v>24</v>
      </c>
      <c r="F9" s="65" t="s">
        <v>25</v>
      </c>
      <c r="G9" s="65" t="s">
        <v>26</v>
      </c>
      <c r="H9" s="65" t="s">
        <v>27</v>
      </c>
      <c r="I9" s="65"/>
      <c r="J9" s="99" t="s">
        <v>28</v>
      </c>
      <c r="K9" s="99" t="s">
        <v>66</v>
      </c>
      <c r="L9" s="99" t="s">
        <v>30</v>
      </c>
      <c r="M9" s="99" t="s">
        <v>67</v>
      </c>
      <c r="N9" s="105"/>
      <c r="O9" s="80" t="s">
        <v>32</v>
      </c>
      <c r="P9" s="80" t="s">
        <v>33</v>
      </c>
      <c r="Q9" s="80" t="s">
        <v>34</v>
      </c>
      <c r="R9" s="80"/>
      <c r="S9" s="104"/>
      <c r="T9" s="74"/>
      <c r="U9" s="74"/>
      <c r="V9" s="102"/>
      <c r="W9" s="74"/>
      <c r="X9" s="103"/>
    </row>
    <row r="10" spans="1:24" s="21" customFormat="1" ht="41.25" customHeight="1">
      <c r="A10" s="77"/>
      <c r="B10" s="78"/>
      <c r="C10" s="79"/>
      <c r="D10" s="65"/>
      <c r="E10" s="65"/>
      <c r="F10" s="65"/>
      <c r="G10" s="65"/>
      <c r="H10" s="65"/>
      <c r="I10" s="65"/>
      <c r="J10" s="99"/>
      <c r="K10" s="99"/>
      <c r="L10" s="99"/>
      <c r="M10" s="99"/>
      <c r="N10" s="105"/>
      <c r="O10" s="80"/>
      <c r="P10" s="80"/>
      <c r="Q10" s="80"/>
      <c r="R10" s="80"/>
      <c r="S10" s="104"/>
      <c r="T10" s="74"/>
      <c r="U10" s="74"/>
      <c r="V10" s="102"/>
      <c r="W10" s="74"/>
      <c r="X10" s="103"/>
    </row>
    <row r="11" spans="1:24" s="21" customFormat="1" ht="40.5" customHeight="1">
      <c r="A11" s="77"/>
      <c r="B11" s="78"/>
      <c r="C11" s="79"/>
      <c r="D11" s="65"/>
      <c r="E11" s="65"/>
      <c r="F11" s="65"/>
      <c r="G11" s="65"/>
      <c r="H11" s="65"/>
      <c r="I11" s="65"/>
      <c r="J11" s="99"/>
      <c r="K11" s="99"/>
      <c r="L11" s="99"/>
      <c r="M11" s="99"/>
      <c r="N11" s="105"/>
      <c r="O11" s="80"/>
      <c r="P11" s="80"/>
      <c r="Q11" s="80"/>
      <c r="R11" s="80"/>
      <c r="S11" s="104"/>
      <c r="T11" s="74"/>
      <c r="U11" s="74"/>
      <c r="V11" s="102"/>
      <c r="W11" s="74"/>
      <c r="X11" s="103"/>
    </row>
    <row r="12" spans="1:24" ht="21.75" customHeight="1">
      <c r="A12" s="25" t="s">
        <v>35</v>
      </c>
      <c r="B12" s="26"/>
      <c r="C12" s="27"/>
      <c r="D12" s="28">
        <v>0</v>
      </c>
      <c r="E12" s="29">
        <f aca="true" t="shared" si="0" ref="E12:E27">D12*0.3</f>
        <v>0</v>
      </c>
      <c r="F12" s="30"/>
      <c r="G12" s="31"/>
      <c r="H12" s="32"/>
      <c r="I12" s="33">
        <f aca="true" t="shared" si="1" ref="I12:I27">E12+G12+H12</f>
        <v>0</v>
      </c>
      <c r="J12" s="34">
        <v>13</v>
      </c>
      <c r="K12" s="35">
        <f aca="true" t="shared" si="2" ref="K12:K19">J12*0.08</f>
        <v>1.04</v>
      </c>
      <c r="L12" s="35">
        <v>47</v>
      </c>
      <c r="M12" s="36">
        <f>(114*2+112+101+103*4+94+91+96*2+95*2+89+83+84+85+82+87*3+86+80*2+81*3+79+78*7+77+75+72*2+73+70+67+60+53+52)*0.08/120</f>
        <v>2.5926666666666667</v>
      </c>
      <c r="N12" s="37">
        <f aca="true" t="shared" si="3" ref="N12:N27">K12+M12</f>
        <v>3.6326666666666667</v>
      </c>
      <c r="O12" s="31"/>
      <c r="P12" s="38">
        <v>0.30000000000000004</v>
      </c>
      <c r="Q12" s="38"/>
      <c r="R12" s="38"/>
      <c r="S12" s="39">
        <f>O12+P12+Q12+R12</f>
        <v>0.30000000000000004</v>
      </c>
      <c r="T12" s="32">
        <v>1</v>
      </c>
      <c r="U12" s="32"/>
      <c r="V12" s="40">
        <f>T12+U12</f>
        <v>1</v>
      </c>
      <c r="W12" s="41" t="s">
        <v>36</v>
      </c>
      <c r="X12" s="42">
        <f aca="true" t="shared" si="4" ref="X12:X27">I12+N12+S12+V12</f>
        <v>4.932666666666667</v>
      </c>
    </row>
    <row r="13" spans="1:24" ht="21.75" customHeight="1">
      <c r="A13" s="25" t="s">
        <v>37</v>
      </c>
      <c r="B13" s="26"/>
      <c r="C13" s="27"/>
      <c r="D13" s="28">
        <v>0</v>
      </c>
      <c r="E13" s="29">
        <f t="shared" si="0"/>
        <v>0</v>
      </c>
      <c r="F13" s="30"/>
      <c r="G13" s="31"/>
      <c r="H13" s="32"/>
      <c r="I13" s="33">
        <f t="shared" si="1"/>
        <v>0</v>
      </c>
      <c r="J13" s="34">
        <v>14</v>
      </c>
      <c r="K13" s="35">
        <f t="shared" si="2"/>
        <v>1.12</v>
      </c>
      <c r="L13" s="35">
        <v>46</v>
      </c>
      <c r="M13" s="36">
        <f>(115+113+110*6+105*7+102+100*6+98*3+95*7+90*4+86+85*7+84*2)*0.08/120</f>
        <v>2.9953333333333334</v>
      </c>
      <c r="N13" s="37">
        <f t="shared" si="3"/>
        <v>4.115333333333334</v>
      </c>
      <c r="O13" s="31"/>
      <c r="P13" s="38"/>
      <c r="Q13" s="38"/>
      <c r="R13" s="38"/>
      <c r="S13" s="39"/>
      <c r="T13" s="32">
        <v>1</v>
      </c>
      <c r="U13" s="32"/>
      <c r="V13" s="40">
        <f>T13+U13</f>
        <v>1</v>
      </c>
      <c r="W13" s="41" t="s">
        <v>36</v>
      </c>
      <c r="X13" s="42">
        <f t="shared" si="4"/>
        <v>5.115333333333334</v>
      </c>
    </row>
    <row r="14" spans="1:24" ht="21.75" customHeight="1">
      <c r="A14" s="25" t="s">
        <v>38</v>
      </c>
      <c r="B14" s="43"/>
      <c r="C14" s="44"/>
      <c r="D14" s="28">
        <v>0</v>
      </c>
      <c r="E14" s="29">
        <f t="shared" si="0"/>
        <v>0</v>
      </c>
      <c r="F14" s="30"/>
      <c r="G14" s="31"/>
      <c r="H14" s="32"/>
      <c r="I14" s="33">
        <f t="shared" si="1"/>
        <v>0</v>
      </c>
      <c r="J14" s="34">
        <v>2</v>
      </c>
      <c r="K14" s="35">
        <f t="shared" si="2"/>
        <v>0.16</v>
      </c>
      <c r="L14" s="35">
        <v>57</v>
      </c>
      <c r="M14" s="36">
        <f>(30+60+111+99+68+72+69+70+76+72+82+36+84+92+84+42+57+83+56+79+42+80+83+100+60+105+29+62+102+118+108+111+85+55+60+60+55+60+55+72+6+45++53+63+63+55+63+30+10+50+33+36+36+21+36+15+30)*0.08/120</f>
        <v>2.3793333333333333</v>
      </c>
      <c r="N14" s="37">
        <f t="shared" si="3"/>
        <v>2.5393333333333334</v>
      </c>
      <c r="O14" s="31"/>
      <c r="P14" s="38"/>
      <c r="Q14" s="38">
        <v>1</v>
      </c>
      <c r="R14" s="38"/>
      <c r="S14" s="39">
        <f>O14+P14+Q14+R14</f>
        <v>1</v>
      </c>
      <c r="T14" s="32">
        <v>1</v>
      </c>
      <c r="U14" s="32"/>
      <c r="V14" s="40">
        <f>'γενική κατάταξη'!U15+'γενική κατάταξη'!V15</f>
        <v>0</v>
      </c>
      <c r="W14" s="41" t="s">
        <v>36</v>
      </c>
      <c r="X14" s="42">
        <f t="shared" si="4"/>
        <v>3.5393333333333334</v>
      </c>
    </row>
    <row r="15" spans="1:24" ht="21.75" customHeight="1">
      <c r="A15" s="25" t="s">
        <v>40</v>
      </c>
      <c r="B15" s="26"/>
      <c r="C15" s="27"/>
      <c r="D15" s="28">
        <v>0</v>
      </c>
      <c r="E15" s="29">
        <f t="shared" si="0"/>
        <v>0</v>
      </c>
      <c r="F15" s="30"/>
      <c r="G15" s="31"/>
      <c r="H15" s="32"/>
      <c r="I15" s="33">
        <f t="shared" si="1"/>
        <v>0</v>
      </c>
      <c r="J15" s="34">
        <v>19</v>
      </c>
      <c r="K15" s="35">
        <f t="shared" si="2"/>
        <v>1.52</v>
      </c>
      <c r="L15" s="35">
        <v>17</v>
      </c>
      <c r="M15" s="36">
        <f>(20+12+28+48+43+114+114+24+114+114+54+78+72+90+82+96+100)*0.08/120</f>
        <v>0.802</v>
      </c>
      <c r="N15" s="37">
        <f t="shared" si="3"/>
        <v>2.322</v>
      </c>
      <c r="O15" s="31"/>
      <c r="P15" s="38">
        <v>0.6000000000000001</v>
      </c>
      <c r="Q15" s="38"/>
      <c r="R15" s="38"/>
      <c r="S15" s="39">
        <f>O15+P15+Q15+R15</f>
        <v>0.6000000000000001</v>
      </c>
      <c r="T15" s="32">
        <v>1</v>
      </c>
      <c r="U15" s="32"/>
      <c r="V15" s="40">
        <f aca="true" t="shared" si="5" ref="V15:V27">T15+U15</f>
        <v>1</v>
      </c>
      <c r="W15" s="41" t="s">
        <v>36</v>
      </c>
      <c r="X15" s="42">
        <f t="shared" si="4"/>
        <v>3.922</v>
      </c>
    </row>
    <row r="16" spans="1:24" ht="21.75" customHeight="1">
      <c r="A16" s="25" t="s">
        <v>41</v>
      </c>
      <c r="B16" s="26"/>
      <c r="C16" s="27"/>
      <c r="D16" s="28">
        <v>0</v>
      </c>
      <c r="E16" s="29">
        <f t="shared" si="0"/>
        <v>0</v>
      </c>
      <c r="F16" s="30"/>
      <c r="G16" s="31">
        <v>0.5</v>
      </c>
      <c r="H16" s="32"/>
      <c r="I16" s="33">
        <f t="shared" si="1"/>
        <v>0.5</v>
      </c>
      <c r="J16" s="34">
        <v>21</v>
      </c>
      <c r="K16" s="35">
        <f t="shared" si="2"/>
        <v>1.68</v>
      </c>
      <c r="L16" s="35">
        <v>30</v>
      </c>
      <c r="M16" s="36">
        <f>(72+90+48+114+90+114+114+24+114+114+54+78+37+53+39+55+24+69+72+69+70+77+33+36+72*4+36)*0.08/120</f>
        <v>1.3226666666666667</v>
      </c>
      <c r="N16" s="37">
        <f t="shared" si="3"/>
        <v>3.0026666666666664</v>
      </c>
      <c r="O16" s="31"/>
      <c r="P16" s="38"/>
      <c r="Q16" s="38"/>
      <c r="R16" s="38"/>
      <c r="S16" s="39"/>
      <c r="T16" s="32"/>
      <c r="U16" s="32">
        <v>0.5</v>
      </c>
      <c r="V16" s="40">
        <f t="shared" si="5"/>
        <v>0.5</v>
      </c>
      <c r="W16" s="41" t="s">
        <v>36</v>
      </c>
      <c r="X16" s="42">
        <f t="shared" si="4"/>
        <v>4.002666666666666</v>
      </c>
    </row>
    <row r="17" spans="1:24" ht="21.75" customHeight="1">
      <c r="A17" s="25" t="s">
        <v>42</v>
      </c>
      <c r="B17" s="26"/>
      <c r="C17" s="27"/>
      <c r="D17" s="28">
        <v>0</v>
      </c>
      <c r="E17" s="29">
        <f t="shared" si="0"/>
        <v>0</v>
      </c>
      <c r="F17" s="30"/>
      <c r="G17" s="31"/>
      <c r="H17" s="32"/>
      <c r="I17" s="33">
        <f t="shared" si="1"/>
        <v>0</v>
      </c>
      <c r="J17" s="34">
        <v>6</v>
      </c>
      <c r="K17" s="35">
        <f t="shared" si="2"/>
        <v>0.48</v>
      </c>
      <c r="L17" s="35">
        <v>30</v>
      </c>
      <c r="M17" s="36">
        <f>(54+108*2+54+34+63+89+106+108+111+86+112+24+80*2+92+80+84+45+66+63+15+67+33+113+108+117*2+113+50)*0.08/120</f>
        <v>1.5866666666666667</v>
      </c>
      <c r="N17" s="37">
        <f t="shared" si="3"/>
        <v>2.0666666666666664</v>
      </c>
      <c r="O17" s="31"/>
      <c r="P17" s="38">
        <v>0.6000000000000001</v>
      </c>
      <c r="Q17" s="38"/>
      <c r="R17" s="38"/>
      <c r="S17" s="39">
        <f>O17+P17+Q17+R17</f>
        <v>0.6000000000000001</v>
      </c>
      <c r="T17" s="32"/>
      <c r="U17" s="32">
        <v>0.5</v>
      </c>
      <c r="V17" s="40">
        <f t="shared" si="5"/>
        <v>0.5</v>
      </c>
      <c r="W17" s="41" t="s">
        <v>36</v>
      </c>
      <c r="X17" s="42">
        <f t="shared" si="4"/>
        <v>3.1666666666666665</v>
      </c>
    </row>
    <row r="18" spans="1:24" ht="21.75" customHeight="1">
      <c r="A18" s="25" t="s">
        <v>43</v>
      </c>
      <c r="B18" s="26"/>
      <c r="C18" s="27"/>
      <c r="D18" s="28">
        <v>0</v>
      </c>
      <c r="E18" s="29">
        <f t="shared" si="0"/>
        <v>0</v>
      </c>
      <c r="F18" s="30"/>
      <c r="G18" s="31"/>
      <c r="H18" s="32"/>
      <c r="I18" s="33">
        <f t="shared" si="1"/>
        <v>0</v>
      </c>
      <c r="J18" s="34">
        <v>1</v>
      </c>
      <c r="K18" s="35">
        <f t="shared" si="2"/>
        <v>0.08</v>
      </c>
      <c r="L18" s="35">
        <v>52</v>
      </c>
      <c r="M18" s="36">
        <f>(8+16+12+45+48*3+42+39+54+45+48+51+48*2+38+45+42+48*4+23+24+48*2+42+54+48+45+51+33+57+51+45+49+54+104+54+11+88+83+86+88+96+96+96+104*2+100+108)*0.08/120</f>
        <v>1.8713333333333333</v>
      </c>
      <c r="N18" s="37">
        <f t="shared" si="3"/>
        <v>1.9513333333333334</v>
      </c>
      <c r="O18" s="31"/>
      <c r="P18" s="38">
        <v>0.30000000000000004</v>
      </c>
      <c r="Q18" s="38"/>
      <c r="R18" s="38"/>
      <c r="S18" s="39">
        <f>O18+P18+Q18+R18</f>
        <v>0.30000000000000004</v>
      </c>
      <c r="T18" s="32"/>
      <c r="U18" s="32">
        <v>0.5</v>
      </c>
      <c r="V18" s="40">
        <f t="shared" si="5"/>
        <v>0.5</v>
      </c>
      <c r="W18" s="41" t="s">
        <v>36</v>
      </c>
      <c r="X18" s="42">
        <f t="shared" si="4"/>
        <v>2.751333333333333</v>
      </c>
    </row>
    <row r="19" spans="1:24" ht="21.75" customHeight="1">
      <c r="A19" s="25" t="s">
        <v>50</v>
      </c>
      <c r="B19" s="26"/>
      <c r="C19" s="27"/>
      <c r="D19" s="28">
        <v>0</v>
      </c>
      <c r="E19" s="29">
        <f t="shared" si="0"/>
        <v>0</v>
      </c>
      <c r="F19" s="30"/>
      <c r="G19" s="31">
        <v>0.5</v>
      </c>
      <c r="H19" s="32"/>
      <c r="I19" s="33">
        <f t="shared" si="1"/>
        <v>0.5</v>
      </c>
      <c r="J19" s="34">
        <v>4</v>
      </c>
      <c r="K19" s="35">
        <f t="shared" si="2"/>
        <v>0.32</v>
      </c>
      <c r="L19" s="35">
        <v>17</v>
      </c>
      <c r="M19" s="36">
        <f>(48+96+114+3+90+102+114+108+108+54+60+33+28+46+51+45+54+58+47+15)*0.08/120</f>
        <v>0.8493333333333334</v>
      </c>
      <c r="N19" s="37">
        <f t="shared" si="3"/>
        <v>1.1693333333333333</v>
      </c>
      <c r="O19" s="31"/>
      <c r="P19" s="38"/>
      <c r="Q19" s="38"/>
      <c r="R19" s="38"/>
      <c r="S19" s="39"/>
      <c r="T19" s="32"/>
      <c r="U19" s="32">
        <v>0.5</v>
      </c>
      <c r="V19" s="40">
        <f t="shared" si="5"/>
        <v>0.5</v>
      </c>
      <c r="W19" s="41" t="s">
        <v>36</v>
      </c>
      <c r="X19" s="42">
        <f t="shared" si="4"/>
        <v>2.1693333333333333</v>
      </c>
    </row>
    <row r="20" spans="1:24" ht="21.75" customHeight="1">
      <c r="A20" s="25" t="s">
        <v>51</v>
      </c>
      <c r="B20" s="26"/>
      <c r="C20" s="27"/>
      <c r="D20" s="28">
        <v>0</v>
      </c>
      <c r="E20" s="29">
        <f t="shared" si="0"/>
        <v>0</v>
      </c>
      <c r="F20" s="30"/>
      <c r="G20" s="31"/>
      <c r="H20" s="32"/>
      <c r="I20" s="33">
        <f t="shared" si="1"/>
        <v>0</v>
      </c>
      <c r="J20" s="34"/>
      <c r="K20" s="35"/>
      <c r="L20" s="35">
        <v>24</v>
      </c>
      <c r="M20" s="36">
        <f>(24+48*4+24+100+96+104*2+108+100+9+39+21+32+33+35+21+39+6+38+36+30)*0.08/120</f>
        <v>0.794</v>
      </c>
      <c r="N20" s="37">
        <f t="shared" si="3"/>
        <v>0.794</v>
      </c>
      <c r="O20" s="31"/>
      <c r="P20" s="38"/>
      <c r="Q20" s="38"/>
      <c r="R20" s="38"/>
      <c r="S20" s="39"/>
      <c r="T20" s="32">
        <v>1</v>
      </c>
      <c r="U20" s="32"/>
      <c r="V20" s="40">
        <f t="shared" si="5"/>
        <v>1</v>
      </c>
      <c r="W20" s="41" t="s">
        <v>36</v>
      </c>
      <c r="X20" s="42">
        <f t="shared" si="4"/>
        <v>1.794</v>
      </c>
    </row>
    <row r="21" spans="1:24" ht="21.75" customHeight="1">
      <c r="A21" s="25" t="s">
        <v>52</v>
      </c>
      <c r="B21" s="26"/>
      <c r="C21" s="27"/>
      <c r="D21" s="28">
        <v>0</v>
      </c>
      <c r="E21" s="29">
        <f t="shared" si="0"/>
        <v>0</v>
      </c>
      <c r="F21" s="30"/>
      <c r="G21" s="31"/>
      <c r="H21" s="32"/>
      <c r="I21" s="33">
        <f t="shared" si="1"/>
        <v>0</v>
      </c>
      <c r="J21" s="34"/>
      <c r="K21" s="35"/>
      <c r="L21" s="35">
        <v>12</v>
      </c>
      <c r="M21" s="36">
        <f>(21+40+84+74+66+69+36*4+39+18)*0.08/120</f>
        <v>0.37</v>
      </c>
      <c r="N21" s="37">
        <f t="shared" si="3"/>
        <v>0.37</v>
      </c>
      <c r="O21" s="31"/>
      <c r="P21" s="38"/>
      <c r="Q21" s="38"/>
      <c r="R21" s="38"/>
      <c r="S21" s="39"/>
      <c r="T21" s="32">
        <v>1</v>
      </c>
      <c r="U21" s="32"/>
      <c r="V21" s="40">
        <f t="shared" si="5"/>
        <v>1</v>
      </c>
      <c r="W21" s="41" t="s">
        <v>36</v>
      </c>
      <c r="X21" s="42">
        <f t="shared" si="4"/>
        <v>1.37</v>
      </c>
    </row>
    <row r="22" spans="1:24" ht="21.75" customHeight="1">
      <c r="A22" s="25" t="s">
        <v>53</v>
      </c>
      <c r="B22" s="26"/>
      <c r="C22" s="27"/>
      <c r="D22" s="28">
        <v>0</v>
      </c>
      <c r="E22" s="29">
        <f t="shared" si="0"/>
        <v>0</v>
      </c>
      <c r="F22" s="30"/>
      <c r="G22" s="31">
        <v>0.5</v>
      </c>
      <c r="H22" s="32"/>
      <c r="I22" s="33">
        <f t="shared" si="1"/>
        <v>0.5</v>
      </c>
      <c r="J22" s="34"/>
      <c r="K22" s="35"/>
      <c r="L22" s="35"/>
      <c r="M22" s="36"/>
      <c r="N22" s="37">
        <f t="shared" si="3"/>
        <v>0</v>
      </c>
      <c r="O22" s="31"/>
      <c r="P22" s="38"/>
      <c r="Q22" s="38"/>
      <c r="R22" s="38"/>
      <c r="S22" s="39"/>
      <c r="T22" s="32">
        <v>1</v>
      </c>
      <c r="U22" s="32"/>
      <c r="V22" s="40">
        <f t="shared" si="5"/>
        <v>1</v>
      </c>
      <c r="W22" s="41" t="s">
        <v>36</v>
      </c>
      <c r="X22" s="42">
        <f t="shared" si="4"/>
        <v>1.5</v>
      </c>
    </row>
    <row r="23" spans="1:24" ht="21.75" customHeight="1">
      <c r="A23" s="25" t="s">
        <v>54</v>
      </c>
      <c r="B23" s="26"/>
      <c r="C23" s="27"/>
      <c r="D23" s="28">
        <v>0</v>
      </c>
      <c r="E23" s="29">
        <f t="shared" si="0"/>
        <v>0</v>
      </c>
      <c r="F23" s="30"/>
      <c r="G23" s="31"/>
      <c r="H23" s="32"/>
      <c r="I23" s="33">
        <f t="shared" si="1"/>
        <v>0</v>
      </c>
      <c r="J23" s="34"/>
      <c r="K23" s="35"/>
      <c r="L23" s="35"/>
      <c r="M23" s="36"/>
      <c r="N23" s="37">
        <f t="shared" si="3"/>
        <v>0</v>
      </c>
      <c r="O23" s="31"/>
      <c r="P23" s="38"/>
      <c r="Q23" s="38"/>
      <c r="R23" s="38"/>
      <c r="S23" s="39"/>
      <c r="T23" s="32">
        <v>1</v>
      </c>
      <c r="U23" s="32"/>
      <c r="V23" s="40">
        <f t="shared" si="5"/>
        <v>1</v>
      </c>
      <c r="W23" s="41" t="s">
        <v>36</v>
      </c>
      <c r="X23" s="42">
        <f t="shared" si="4"/>
        <v>1</v>
      </c>
    </row>
    <row r="24" spans="1:24" ht="21.75" customHeight="1">
      <c r="A24" s="25" t="s">
        <v>57</v>
      </c>
      <c r="B24" s="43"/>
      <c r="C24" s="27"/>
      <c r="D24" s="28">
        <v>0</v>
      </c>
      <c r="E24" s="29">
        <f t="shared" si="0"/>
        <v>0</v>
      </c>
      <c r="F24" s="30"/>
      <c r="G24" s="31"/>
      <c r="H24" s="32"/>
      <c r="I24" s="33">
        <f t="shared" si="1"/>
        <v>0</v>
      </c>
      <c r="J24" s="34"/>
      <c r="K24" s="35"/>
      <c r="L24" s="35"/>
      <c r="M24" s="36"/>
      <c r="N24" s="37">
        <f t="shared" si="3"/>
        <v>0</v>
      </c>
      <c r="O24" s="31"/>
      <c r="P24" s="38"/>
      <c r="Q24" s="38"/>
      <c r="R24" s="38"/>
      <c r="S24" s="39"/>
      <c r="T24" s="32">
        <v>1</v>
      </c>
      <c r="U24" s="32"/>
      <c r="V24" s="40">
        <f t="shared" si="5"/>
        <v>1</v>
      </c>
      <c r="W24" s="41" t="s">
        <v>36</v>
      </c>
      <c r="X24" s="42">
        <f t="shared" si="4"/>
        <v>1</v>
      </c>
    </row>
    <row r="25" spans="1:24" ht="21.75" customHeight="1">
      <c r="A25" s="25" t="s">
        <v>58</v>
      </c>
      <c r="B25" s="26"/>
      <c r="C25" s="27"/>
      <c r="D25" s="28">
        <v>0</v>
      </c>
      <c r="E25" s="29">
        <f t="shared" si="0"/>
        <v>0</v>
      </c>
      <c r="F25" s="30"/>
      <c r="G25" s="31"/>
      <c r="H25" s="32"/>
      <c r="I25" s="33">
        <f t="shared" si="1"/>
        <v>0</v>
      </c>
      <c r="J25" s="34"/>
      <c r="K25" s="35"/>
      <c r="L25" s="35"/>
      <c r="M25" s="36"/>
      <c r="N25" s="37">
        <f t="shared" si="3"/>
        <v>0</v>
      </c>
      <c r="O25" s="31"/>
      <c r="P25" s="38"/>
      <c r="Q25" s="38"/>
      <c r="R25" s="38"/>
      <c r="S25" s="39"/>
      <c r="T25" s="32">
        <v>1</v>
      </c>
      <c r="U25" s="32"/>
      <c r="V25" s="40">
        <f t="shared" si="5"/>
        <v>1</v>
      </c>
      <c r="W25" s="41" t="s">
        <v>36</v>
      </c>
      <c r="X25" s="42">
        <f t="shared" si="4"/>
        <v>1</v>
      </c>
    </row>
    <row r="26" spans="1:24" ht="21.75" customHeight="1">
      <c r="A26" s="25" t="s">
        <v>59</v>
      </c>
      <c r="B26" s="26"/>
      <c r="C26" s="27"/>
      <c r="D26" s="28">
        <v>0</v>
      </c>
      <c r="E26" s="29">
        <f t="shared" si="0"/>
        <v>0</v>
      </c>
      <c r="F26" s="30"/>
      <c r="G26" s="31"/>
      <c r="H26" s="32"/>
      <c r="I26" s="33">
        <f t="shared" si="1"/>
        <v>0</v>
      </c>
      <c r="J26" s="34"/>
      <c r="K26" s="35"/>
      <c r="L26" s="35"/>
      <c r="M26" s="36"/>
      <c r="N26" s="37">
        <f t="shared" si="3"/>
        <v>0</v>
      </c>
      <c r="O26" s="31"/>
      <c r="P26" s="38"/>
      <c r="Q26" s="38"/>
      <c r="R26" s="38"/>
      <c r="S26" s="39"/>
      <c r="T26" s="32">
        <v>1</v>
      </c>
      <c r="U26" s="32"/>
      <c r="V26" s="40">
        <f t="shared" si="5"/>
        <v>1</v>
      </c>
      <c r="W26" s="41" t="s">
        <v>36</v>
      </c>
      <c r="X26" s="42">
        <f t="shared" si="4"/>
        <v>1</v>
      </c>
    </row>
    <row r="27" spans="1:24" ht="21.75" customHeight="1">
      <c r="A27" s="25" t="s">
        <v>60</v>
      </c>
      <c r="B27" s="26"/>
      <c r="C27" s="27"/>
      <c r="D27" s="28">
        <v>0</v>
      </c>
      <c r="E27" s="29">
        <f t="shared" si="0"/>
        <v>0</v>
      </c>
      <c r="F27" s="30"/>
      <c r="G27" s="31"/>
      <c r="H27" s="32"/>
      <c r="I27" s="33">
        <f t="shared" si="1"/>
        <v>0</v>
      </c>
      <c r="J27" s="34"/>
      <c r="K27" s="35"/>
      <c r="L27" s="35"/>
      <c r="M27" s="36"/>
      <c r="N27" s="37">
        <f t="shared" si="3"/>
        <v>0</v>
      </c>
      <c r="O27" s="31"/>
      <c r="P27" s="38"/>
      <c r="Q27" s="38"/>
      <c r="R27" s="38"/>
      <c r="S27" s="39"/>
      <c r="T27" s="32"/>
      <c r="U27" s="32">
        <v>0.5</v>
      </c>
      <c r="V27" s="40">
        <f t="shared" si="5"/>
        <v>0.5</v>
      </c>
      <c r="W27" s="41" t="s">
        <v>36</v>
      </c>
      <c r="X27" s="42">
        <f t="shared" si="4"/>
        <v>0.5</v>
      </c>
    </row>
  </sheetData>
  <sheetProtection selectLockedCells="1" selectUnlockedCells="1"/>
  <mergeCells count="35">
    <mergeCell ref="K9:K11"/>
    <mergeCell ref="L9:L11"/>
    <mergeCell ref="D8:F8"/>
    <mergeCell ref="J8:K8"/>
    <mergeCell ref="L8:M8"/>
    <mergeCell ref="P8:Q8"/>
    <mergeCell ref="N7:N11"/>
    <mergeCell ref="D9:D11"/>
    <mergeCell ref="E9:E11"/>
    <mergeCell ref="F9:F11"/>
    <mergeCell ref="G9:G11"/>
    <mergeCell ref="M9:M11"/>
    <mergeCell ref="O9:O11"/>
    <mergeCell ref="H9:H11"/>
    <mergeCell ref="J9:J11"/>
    <mergeCell ref="W7:W11"/>
    <mergeCell ref="X7:X11"/>
    <mergeCell ref="U8:U11"/>
    <mergeCell ref="P9:P11"/>
    <mergeCell ref="Q9:Q11"/>
    <mergeCell ref="R8:R11"/>
    <mergeCell ref="T8:T11"/>
    <mergeCell ref="O7:R7"/>
    <mergeCell ref="S7:S11"/>
    <mergeCell ref="T7:U7"/>
    <mergeCell ref="V7:V11"/>
    <mergeCell ref="A1:X1"/>
    <mergeCell ref="A2:X2"/>
    <mergeCell ref="A3:X3"/>
    <mergeCell ref="A7:A11"/>
    <mergeCell ref="B7:B11"/>
    <mergeCell ref="C7:C11"/>
    <mergeCell ref="D7:H7"/>
    <mergeCell ref="I7:I11"/>
    <mergeCell ref="J7:M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21"/>
  <sheetViews>
    <sheetView zoomScale="75" zoomScaleNormal="75" zoomScalePageLayoutView="0" workbookViewId="0" topLeftCell="A1">
      <selection activeCell="F28" sqref="F28"/>
    </sheetView>
  </sheetViews>
  <sheetFormatPr defaultColWidth="9.140625" defaultRowHeight="12.75" customHeight="1"/>
  <cols>
    <col min="1" max="1" width="5.28125" style="1" customWidth="1"/>
    <col min="2" max="2" width="26.140625" style="3" customWidth="1"/>
    <col min="3" max="3" width="10.7109375" style="1" customWidth="1"/>
    <col min="4" max="4" width="8.7109375" style="3" customWidth="1"/>
    <col min="5" max="5" width="9.140625" style="3" customWidth="1"/>
    <col min="6" max="6" width="10.140625" style="3" customWidth="1"/>
    <col min="7" max="7" width="13.421875" style="3" customWidth="1"/>
    <col min="8" max="8" width="14.28125" style="3" customWidth="1"/>
    <col min="9" max="9" width="10.140625" style="3" customWidth="1"/>
    <col min="10" max="10" width="13.00390625" style="4" customWidth="1"/>
    <col min="11" max="12" width="13.7109375" style="4" customWidth="1"/>
    <col min="13" max="13" width="15.00390625" style="4" customWidth="1"/>
    <col min="14" max="14" width="10.140625" style="5" customWidth="1"/>
    <col min="15" max="15" width="13.421875" style="3" customWidth="1"/>
    <col min="16" max="16" width="12.8515625" style="1" customWidth="1"/>
    <col min="17" max="17" width="12.00390625" style="3" customWidth="1"/>
    <col min="18" max="18" width="13.57421875" style="1" customWidth="1"/>
    <col min="19" max="19" width="10.140625" style="6" customWidth="1"/>
    <col min="20" max="20" width="12.421875" style="3" customWidth="1"/>
    <col min="21" max="21" width="12.8515625" style="3" customWidth="1"/>
    <col min="22" max="22" width="9.00390625" style="3" customWidth="1"/>
    <col min="23" max="23" width="8.7109375" style="3" customWidth="1"/>
    <col min="24" max="24" width="13.57421875" style="7" customWidth="1"/>
    <col min="25" max="16384" width="9.140625" style="3" customWidth="1"/>
  </cols>
  <sheetData>
    <row r="1" spans="1:24" ht="15.7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51" ht="15.7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0" ht="15.75" customHeight="1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4" ht="21.75" customHeight="1">
      <c r="A4"/>
      <c r="B4" s="8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1:24" ht="21.75" customHeight="1">
      <c r="A5" s="10"/>
      <c r="B5" s="11" t="s">
        <v>71</v>
      </c>
      <c r="C5" s="12"/>
      <c r="D5" s="13"/>
      <c r="E5" s="13"/>
      <c r="F5" s="13"/>
      <c r="G5" s="13"/>
      <c r="H5" s="13"/>
      <c r="I5" s="13"/>
      <c r="J5" s="14"/>
      <c r="K5" s="14"/>
      <c r="L5" s="14"/>
      <c r="M5" s="14"/>
      <c r="N5" s="15"/>
      <c r="O5" s="13"/>
      <c r="P5" s="12"/>
      <c r="Q5" s="13"/>
      <c r="R5" s="12"/>
      <c r="S5" s="16"/>
      <c r="T5" s="10"/>
      <c r="U5" s="10"/>
      <c r="V5" s="10"/>
      <c r="W5" s="10"/>
      <c r="X5" s="17"/>
    </row>
    <row r="6" spans="1:24" ht="21.75" customHeight="1">
      <c r="A6" s="10"/>
      <c r="B6" s="18"/>
      <c r="C6" s="12"/>
      <c r="D6" s="13"/>
      <c r="E6" s="13"/>
      <c r="F6" s="13"/>
      <c r="G6" s="13"/>
      <c r="H6" s="13"/>
      <c r="I6" s="13"/>
      <c r="J6" s="14"/>
      <c r="K6" s="14"/>
      <c r="L6" s="14"/>
      <c r="M6" s="14"/>
      <c r="N6" s="15"/>
      <c r="O6" s="13"/>
      <c r="P6" s="12"/>
      <c r="Q6" s="13"/>
      <c r="R6" s="12"/>
      <c r="S6" s="16"/>
      <c r="T6" s="10"/>
      <c r="U6" s="10"/>
      <c r="V6" s="10"/>
      <c r="W6" s="10"/>
      <c r="X6" s="17"/>
    </row>
    <row r="7" spans="1:24" s="21" customFormat="1" ht="43.5" customHeight="1">
      <c r="A7" s="77" t="s">
        <v>3</v>
      </c>
      <c r="B7" s="78" t="s">
        <v>4</v>
      </c>
      <c r="C7" s="79" t="s">
        <v>5</v>
      </c>
      <c r="D7" s="65" t="s">
        <v>6</v>
      </c>
      <c r="E7" s="65"/>
      <c r="F7" s="65"/>
      <c r="G7" s="65"/>
      <c r="H7" s="65"/>
      <c r="I7" s="65" t="s">
        <v>7</v>
      </c>
      <c r="J7" s="99" t="s">
        <v>8</v>
      </c>
      <c r="K7" s="99"/>
      <c r="L7" s="99"/>
      <c r="M7" s="99"/>
      <c r="N7" s="105" t="s">
        <v>7</v>
      </c>
      <c r="O7" s="80" t="s">
        <v>9</v>
      </c>
      <c r="P7" s="80"/>
      <c r="Q7" s="80"/>
      <c r="R7" s="80"/>
      <c r="S7" s="104" t="s">
        <v>7</v>
      </c>
      <c r="T7" s="74" t="s">
        <v>10</v>
      </c>
      <c r="U7" s="74"/>
      <c r="V7" s="102" t="s">
        <v>7</v>
      </c>
      <c r="W7" s="74" t="s">
        <v>11</v>
      </c>
      <c r="X7" s="103" t="s">
        <v>12</v>
      </c>
    </row>
    <row r="8" spans="1:24" s="21" customFormat="1" ht="27" customHeight="1">
      <c r="A8" s="77"/>
      <c r="B8" s="78"/>
      <c r="C8" s="79"/>
      <c r="D8" s="65" t="s">
        <v>13</v>
      </c>
      <c r="E8" s="65"/>
      <c r="F8" s="65"/>
      <c r="G8" s="23" t="s">
        <v>14</v>
      </c>
      <c r="H8" s="23" t="s">
        <v>15</v>
      </c>
      <c r="I8" s="65"/>
      <c r="J8" s="99" t="s">
        <v>16</v>
      </c>
      <c r="K8" s="99"/>
      <c r="L8" s="99" t="s">
        <v>17</v>
      </c>
      <c r="M8" s="99"/>
      <c r="N8" s="105"/>
      <c r="O8" s="20"/>
      <c r="P8" s="80" t="s">
        <v>18</v>
      </c>
      <c r="Q8" s="80"/>
      <c r="R8" s="80" t="s">
        <v>19</v>
      </c>
      <c r="S8" s="104"/>
      <c r="T8" s="74" t="s">
        <v>20</v>
      </c>
      <c r="U8" s="74" t="s">
        <v>21</v>
      </c>
      <c r="V8" s="102"/>
      <c r="W8" s="74"/>
      <c r="X8" s="103"/>
    </row>
    <row r="9" spans="1:24" s="21" customFormat="1" ht="15.75" customHeight="1">
      <c r="A9" s="77"/>
      <c r="B9" s="78"/>
      <c r="C9" s="79"/>
      <c r="D9" s="65" t="s">
        <v>23</v>
      </c>
      <c r="E9" s="65" t="s">
        <v>24</v>
      </c>
      <c r="F9" s="65" t="s">
        <v>25</v>
      </c>
      <c r="G9" s="65" t="s">
        <v>26</v>
      </c>
      <c r="H9" s="65" t="s">
        <v>27</v>
      </c>
      <c r="I9" s="65"/>
      <c r="J9" s="99" t="s">
        <v>28</v>
      </c>
      <c r="K9" s="99" t="s">
        <v>66</v>
      </c>
      <c r="L9" s="99" t="s">
        <v>30</v>
      </c>
      <c r="M9" s="99" t="s">
        <v>67</v>
      </c>
      <c r="N9" s="105"/>
      <c r="O9" s="80" t="s">
        <v>32</v>
      </c>
      <c r="P9" s="80" t="s">
        <v>33</v>
      </c>
      <c r="Q9" s="80" t="s">
        <v>34</v>
      </c>
      <c r="R9" s="80"/>
      <c r="S9" s="104"/>
      <c r="T9" s="74"/>
      <c r="U9" s="74"/>
      <c r="V9" s="102"/>
      <c r="W9" s="74"/>
      <c r="X9" s="103"/>
    </row>
    <row r="10" spans="1:24" s="21" customFormat="1" ht="41.25" customHeight="1">
      <c r="A10" s="77"/>
      <c r="B10" s="78"/>
      <c r="C10" s="79"/>
      <c r="D10" s="65"/>
      <c r="E10" s="65"/>
      <c r="F10" s="65"/>
      <c r="G10" s="65"/>
      <c r="H10" s="65"/>
      <c r="I10" s="65"/>
      <c r="J10" s="99"/>
      <c r="K10" s="99"/>
      <c r="L10" s="99"/>
      <c r="M10" s="99"/>
      <c r="N10" s="105"/>
      <c r="O10" s="80"/>
      <c r="P10" s="80"/>
      <c r="Q10" s="80"/>
      <c r="R10" s="80"/>
      <c r="S10" s="104"/>
      <c r="T10" s="74"/>
      <c r="U10" s="74"/>
      <c r="V10" s="102"/>
      <c r="W10" s="74"/>
      <c r="X10" s="103"/>
    </row>
    <row r="11" spans="1:24" s="21" customFormat="1" ht="40.5" customHeight="1">
      <c r="A11" s="77"/>
      <c r="B11" s="78"/>
      <c r="C11" s="79"/>
      <c r="D11" s="65"/>
      <c r="E11" s="65"/>
      <c r="F11" s="65"/>
      <c r="G11" s="65"/>
      <c r="H11" s="65"/>
      <c r="I11" s="65"/>
      <c r="J11" s="99"/>
      <c r="K11" s="99"/>
      <c r="L11" s="99"/>
      <c r="M11" s="99"/>
      <c r="N11" s="105"/>
      <c r="O11" s="80"/>
      <c r="P11" s="80"/>
      <c r="Q11" s="80"/>
      <c r="R11" s="80"/>
      <c r="S11" s="104"/>
      <c r="T11" s="74"/>
      <c r="U11" s="74"/>
      <c r="V11" s="102"/>
      <c r="W11" s="74"/>
      <c r="X11" s="103"/>
    </row>
    <row r="12" spans="1:24" ht="21.75" customHeight="1">
      <c r="A12" s="25" t="s">
        <v>35</v>
      </c>
      <c r="B12" s="26"/>
      <c r="C12" s="27"/>
      <c r="D12" s="28">
        <v>0</v>
      </c>
      <c r="E12" s="29">
        <f aca="true" t="shared" si="0" ref="E12:E21">D12*0.3</f>
        <v>0</v>
      </c>
      <c r="F12" s="30"/>
      <c r="G12" s="31"/>
      <c r="H12" s="32"/>
      <c r="I12" s="33">
        <f aca="true" t="shared" si="1" ref="I12:I21">E12+G12+H12</f>
        <v>0</v>
      </c>
      <c r="J12" s="34">
        <v>9</v>
      </c>
      <c r="K12" s="35">
        <f aca="true" t="shared" si="2" ref="K12:K17">J12*0.08</f>
        <v>0.72</v>
      </c>
      <c r="L12" s="35">
        <v>42</v>
      </c>
      <c r="M12" s="36">
        <f>(17+38+76+96+66+85+71+30+16+90+106+108+103+115+58+54+92+117+92+82+84+80+92+35+87+84+92+91+94+88+35+91*4+15+27+27+24+25)*0.08/120</f>
        <v>1.9040000000000001</v>
      </c>
      <c r="N12" s="37">
        <f aca="true" t="shared" si="3" ref="N12:N21">K12+M12</f>
        <v>2.624</v>
      </c>
      <c r="O12" s="31"/>
      <c r="P12" s="38"/>
      <c r="Q12" s="38"/>
      <c r="R12" s="38"/>
      <c r="S12" s="39"/>
      <c r="T12" s="32"/>
      <c r="U12" s="32">
        <v>0.5</v>
      </c>
      <c r="V12" s="40">
        <f aca="true" t="shared" si="4" ref="V12:V21">T12+U12</f>
        <v>0.5</v>
      </c>
      <c r="W12" s="41" t="s">
        <v>36</v>
      </c>
      <c r="X12" s="42">
        <f aca="true" t="shared" si="5" ref="X12:X21">I12+N12+S12+V12</f>
        <v>3.124</v>
      </c>
    </row>
    <row r="13" spans="1:24" ht="21.75" customHeight="1">
      <c r="A13" s="25" t="s">
        <v>37</v>
      </c>
      <c r="B13" s="26"/>
      <c r="C13" s="27"/>
      <c r="D13" s="28">
        <v>0</v>
      </c>
      <c r="E13" s="29">
        <f t="shared" si="0"/>
        <v>0</v>
      </c>
      <c r="F13" s="30"/>
      <c r="G13" s="31">
        <v>0.5</v>
      </c>
      <c r="H13" s="32"/>
      <c r="I13" s="33">
        <f t="shared" si="1"/>
        <v>0.5</v>
      </c>
      <c r="J13" s="34">
        <v>3</v>
      </c>
      <c r="K13" s="35">
        <f t="shared" si="2"/>
        <v>0.24</v>
      </c>
      <c r="L13" s="35">
        <v>9</v>
      </c>
      <c r="M13" s="36">
        <f>(100+96+104+104+108+100+25+109+118)*0.08/120</f>
        <v>0.5760000000000001</v>
      </c>
      <c r="N13" s="37">
        <f t="shared" si="3"/>
        <v>0.8160000000000001</v>
      </c>
      <c r="O13" s="31"/>
      <c r="P13" s="38">
        <v>0.6000000000000001</v>
      </c>
      <c r="Q13" s="38"/>
      <c r="R13" s="38"/>
      <c r="S13" s="39">
        <f>O13+P13+Q13+R13</f>
        <v>0.6000000000000001</v>
      </c>
      <c r="T13" s="32">
        <v>1</v>
      </c>
      <c r="U13" s="32"/>
      <c r="V13" s="40">
        <f t="shared" si="4"/>
        <v>1</v>
      </c>
      <c r="W13" s="41" t="s">
        <v>36</v>
      </c>
      <c r="X13" s="42">
        <f t="shared" si="5"/>
        <v>2.9160000000000004</v>
      </c>
    </row>
    <row r="14" spans="1:24" ht="21.75" customHeight="1">
      <c r="A14" s="25" t="s">
        <v>38</v>
      </c>
      <c r="B14" s="26"/>
      <c r="C14" s="27"/>
      <c r="D14" s="28">
        <v>0</v>
      </c>
      <c r="E14" s="29">
        <f t="shared" si="0"/>
        <v>0</v>
      </c>
      <c r="F14" s="30"/>
      <c r="G14" s="31">
        <v>0.5</v>
      </c>
      <c r="H14" s="32"/>
      <c r="I14" s="33">
        <f t="shared" si="1"/>
        <v>0.5</v>
      </c>
      <c r="J14" s="34">
        <v>7</v>
      </c>
      <c r="K14" s="35">
        <f t="shared" si="2"/>
        <v>0.56</v>
      </c>
      <c r="L14" s="35">
        <v>32</v>
      </c>
      <c r="M14" s="36">
        <f>(14+40+44+38+60+25+48+54+45+54+60+49+42+60+29+40*3+36+36+39+37+40+61+96+65+64+83+27+114+114+96)*0.08/120</f>
        <v>1.1266666666666665</v>
      </c>
      <c r="N14" s="37">
        <f t="shared" si="3"/>
        <v>1.6866666666666665</v>
      </c>
      <c r="O14" s="31"/>
      <c r="P14" s="38">
        <v>0.30000000000000004</v>
      </c>
      <c r="Q14" s="38"/>
      <c r="R14" s="38"/>
      <c r="S14" s="39">
        <f>O14+P14+Q14+R14</f>
        <v>0.30000000000000004</v>
      </c>
      <c r="T14" s="32">
        <v>1</v>
      </c>
      <c r="U14" s="32"/>
      <c r="V14" s="40">
        <f t="shared" si="4"/>
        <v>1</v>
      </c>
      <c r="W14" s="41" t="s">
        <v>36</v>
      </c>
      <c r="X14" s="42">
        <f t="shared" si="5"/>
        <v>3.4866666666666664</v>
      </c>
    </row>
    <row r="15" spans="1:24" ht="21.75" customHeight="1">
      <c r="A15" s="25" t="s">
        <v>40</v>
      </c>
      <c r="B15" s="26"/>
      <c r="C15" s="27"/>
      <c r="D15" s="28">
        <v>0</v>
      </c>
      <c r="E15" s="29">
        <f t="shared" si="0"/>
        <v>0</v>
      </c>
      <c r="F15" s="30"/>
      <c r="G15" s="31">
        <v>0.5</v>
      </c>
      <c r="H15" s="32"/>
      <c r="I15" s="33">
        <f t="shared" si="1"/>
        <v>0.5</v>
      </c>
      <c r="J15" s="34">
        <v>4</v>
      </c>
      <c r="K15" s="35">
        <f t="shared" si="2"/>
        <v>0.32</v>
      </c>
      <c r="L15" s="35">
        <v>17</v>
      </c>
      <c r="M15" s="36">
        <f>(48+96+114+3+90+102+114+108+108+54+60+33+28+46+51+45+54+58+47+15)*0.08/120</f>
        <v>0.8493333333333334</v>
      </c>
      <c r="N15" s="37">
        <f t="shared" si="3"/>
        <v>1.1693333333333333</v>
      </c>
      <c r="O15" s="31"/>
      <c r="P15" s="38"/>
      <c r="Q15" s="38"/>
      <c r="R15" s="38"/>
      <c r="S15" s="39"/>
      <c r="T15" s="32">
        <v>1</v>
      </c>
      <c r="U15" s="32"/>
      <c r="V15" s="40">
        <f t="shared" si="4"/>
        <v>1</v>
      </c>
      <c r="W15" s="41" t="s">
        <v>36</v>
      </c>
      <c r="X15" s="42">
        <f t="shared" si="5"/>
        <v>2.6693333333333333</v>
      </c>
    </row>
    <row r="16" spans="1:24" ht="21.75" customHeight="1">
      <c r="A16" s="25" t="s">
        <v>41</v>
      </c>
      <c r="B16" s="26"/>
      <c r="C16" s="27"/>
      <c r="D16" s="28">
        <v>0</v>
      </c>
      <c r="E16" s="29">
        <f t="shared" si="0"/>
        <v>0</v>
      </c>
      <c r="F16" s="30"/>
      <c r="G16" s="31"/>
      <c r="H16" s="32"/>
      <c r="I16" s="33">
        <f t="shared" si="1"/>
        <v>0</v>
      </c>
      <c r="J16" s="34">
        <v>3</v>
      </c>
      <c r="K16" s="35">
        <f t="shared" si="2"/>
        <v>0.24</v>
      </c>
      <c r="L16" s="35">
        <v>30</v>
      </c>
      <c r="M16" s="36">
        <f>(45+78+58+61+71+60+76+61+40+18+110+99+118+111+109+104+113+117+34+36+33+37+37+16+90+111+119+76+98.5+58)*0.08/120</f>
        <v>1.463</v>
      </c>
      <c r="N16" s="37">
        <f t="shared" si="3"/>
        <v>1.703</v>
      </c>
      <c r="O16" s="31"/>
      <c r="P16" s="38">
        <v>0.30000000000000004</v>
      </c>
      <c r="Q16" s="38"/>
      <c r="R16" s="38"/>
      <c r="S16" s="39">
        <f>O16+P16+Q16+R16</f>
        <v>0.30000000000000004</v>
      </c>
      <c r="T16" s="32"/>
      <c r="U16" s="32">
        <v>0.5</v>
      </c>
      <c r="V16" s="40">
        <f t="shared" si="4"/>
        <v>0.5</v>
      </c>
      <c r="W16" s="41" t="s">
        <v>36</v>
      </c>
      <c r="X16" s="42">
        <f t="shared" si="5"/>
        <v>2.503</v>
      </c>
    </row>
    <row r="17" spans="1:24" ht="21.75" customHeight="1">
      <c r="A17" s="25" t="s">
        <v>42</v>
      </c>
      <c r="B17" s="26"/>
      <c r="C17" s="27"/>
      <c r="D17" s="28">
        <v>0</v>
      </c>
      <c r="E17" s="29">
        <f t="shared" si="0"/>
        <v>0</v>
      </c>
      <c r="F17" s="30"/>
      <c r="G17" s="31"/>
      <c r="H17" s="32"/>
      <c r="I17" s="33">
        <f t="shared" si="1"/>
        <v>0</v>
      </c>
      <c r="J17" s="34">
        <v>4</v>
      </c>
      <c r="K17" s="35">
        <f t="shared" si="2"/>
        <v>0.32</v>
      </c>
      <c r="L17" s="35">
        <v>13</v>
      </c>
      <c r="M17" s="36">
        <f>(64+92+74+80+88+2+20+65*2+70+60+70+107)*0.08/120</f>
        <v>0.5713333333333334</v>
      </c>
      <c r="N17" s="37">
        <f t="shared" si="3"/>
        <v>0.8913333333333333</v>
      </c>
      <c r="O17" s="31"/>
      <c r="P17" s="38">
        <v>0.30000000000000004</v>
      </c>
      <c r="Q17" s="38"/>
      <c r="R17" s="38"/>
      <c r="S17" s="39">
        <f>O17+P17+Q17+R17</f>
        <v>0.30000000000000004</v>
      </c>
      <c r="T17" s="32">
        <v>1</v>
      </c>
      <c r="U17" s="32"/>
      <c r="V17" s="40">
        <f t="shared" si="4"/>
        <v>1</v>
      </c>
      <c r="W17" s="41" t="s">
        <v>36</v>
      </c>
      <c r="X17" s="42">
        <f t="shared" si="5"/>
        <v>2.1913333333333336</v>
      </c>
    </row>
    <row r="18" spans="1:24" ht="21.75" customHeight="1">
      <c r="A18" s="25" t="s">
        <v>43</v>
      </c>
      <c r="B18" s="26"/>
      <c r="C18" s="27"/>
      <c r="D18" s="28">
        <v>0</v>
      </c>
      <c r="E18" s="29">
        <f t="shared" si="0"/>
        <v>0</v>
      </c>
      <c r="F18" s="30"/>
      <c r="G18" s="31"/>
      <c r="H18" s="32"/>
      <c r="I18" s="33">
        <f t="shared" si="1"/>
        <v>0</v>
      </c>
      <c r="J18" s="34"/>
      <c r="K18" s="35"/>
      <c r="L18" s="35"/>
      <c r="M18" s="36"/>
      <c r="N18" s="37">
        <f t="shared" si="3"/>
        <v>0</v>
      </c>
      <c r="O18" s="31"/>
      <c r="P18" s="38">
        <v>0.30000000000000004</v>
      </c>
      <c r="Q18" s="38"/>
      <c r="R18" s="38"/>
      <c r="S18" s="39">
        <f>O18+P18+Q18+R18</f>
        <v>0.30000000000000004</v>
      </c>
      <c r="T18" s="32">
        <v>1</v>
      </c>
      <c r="U18" s="32"/>
      <c r="V18" s="40">
        <f t="shared" si="4"/>
        <v>1</v>
      </c>
      <c r="W18" s="41" t="s">
        <v>36</v>
      </c>
      <c r="X18" s="42">
        <f t="shared" si="5"/>
        <v>1.3</v>
      </c>
    </row>
    <row r="19" spans="1:24" ht="21.75" customHeight="1">
      <c r="A19" s="25" t="s">
        <v>50</v>
      </c>
      <c r="B19" s="26"/>
      <c r="C19" s="27"/>
      <c r="D19" s="28">
        <v>0</v>
      </c>
      <c r="E19" s="29">
        <f t="shared" si="0"/>
        <v>0</v>
      </c>
      <c r="F19" s="30"/>
      <c r="G19" s="31"/>
      <c r="H19" s="32"/>
      <c r="I19" s="33">
        <f t="shared" si="1"/>
        <v>0</v>
      </c>
      <c r="J19" s="34"/>
      <c r="K19" s="35"/>
      <c r="L19" s="35"/>
      <c r="M19" s="36"/>
      <c r="N19" s="37">
        <f t="shared" si="3"/>
        <v>0</v>
      </c>
      <c r="O19" s="31"/>
      <c r="P19" s="38"/>
      <c r="Q19" s="38"/>
      <c r="R19" s="38"/>
      <c r="S19" s="39"/>
      <c r="T19" s="32">
        <v>1</v>
      </c>
      <c r="U19" s="32"/>
      <c r="V19" s="40">
        <f t="shared" si="4"/>
        <v>1</v>
      </c>
      <c r="W19" s="41" t="s">
        <v>36</v>
      </c>
      <c r="X19" s="42">
        <f t="shared" si="5"/>
        <v>1</v>
      </c>
    </row>
    <row r="20" spans="1:24" ht="21.75" customHeight="1">
      <c r="A20" s="25" t="s">
        <v>51</v>
      </c>
      <c r="B20" s="26"/>
      <c r="C20" s="27"/>
      <c r="D20" s="28">
        <v>0</v>
      </c>
      <c r="E20" s="29">
        <f t="shared" si="0"/>
        <v>0</v>
      </c>
      <c r="F20" s="30"/>
      <c r="G20" s="31"/>
      <c r="H20" s="32"/>
      <c r="I20" s="33">
        <f t="shared" si="1"/>
        <v>0</v>
      </c>
      <c r="J20" s="34"/>
      <c r="K20" s="35"/>
      <c r="L20" s="35"/>
      <c r="M20" s="36"/>
      <c r="N20" s="37">
        <f t="shared" si="3"/>
        <v>0</v>
      </c>
      <c r="O20" s="31"/>
      <c r="P20" s="38"/>
      <c r="Q20" s="38"/>
      <c r="R20" s="38"/>
      <c r="S20" s="39"/>
      <c r="T20" s="32">
        <v>1</v>
      </c>
      <c r="U20" s="32"/>
      <c r="V20" s="40">
        <f t="shared" si="4"/>
        <v>1</v>
      </c>
      <c r="W20" s="41" t="s">
        <v>39</v>
      </c>
      <c r="X20" s="42">
        <f t="shared" si="5"/>
        <v>1</v>
      </c>
    </row>
    <row r="21" spans="1:24" ht="21.75" customHeight="1">
      <c r="A21" s="25" t="s">
        <v>52</v>
      </c>
      <c r="B21" s="26"/>
      <c r="C21" s="27"/>
      <c r="D21" s="28">
        <v>0</v>
      </c>
      <c r="E21" s="29">
        <f t="shared" si="0"/>
        <v>0</v>
      </c>
      <c r="F21" s="30"/>
      <c r="G21" s="31"/>
      <c r="H21" s="32"/>
      <c r="I21" s="33">
        <f t="shared" si="1"/>
        <v>0</v>
      </c>
      <c r="J21" s="34"/>
      <c r="K21" s="35"/>
      <c r="L21" s="35"/>
      <c r="M21" s="36"/>
      <c r="N21" s="37">
        <f t="shared" si="3"/>
        <v>0</v>
      </c>
      <c r="O21" s="31"/>
      <c r="P21" s="38"/>
      <c r="Q21" s="38"/>
      <c r="R21" s="38"/>
      <c r="S21" s="39"/>
      <c r="T21" s="32">
        <v>1</v>
      </c>
      <c r="U21" s="32"/>
      <c r="V21" s="40">
        <f t="shared" si="4"/>
        <v>1</v>
      </c>
      <c r="W21" s="41" t="s">
        <v>36</v>
      </c>
      <c r="X21" s="42">
        <f t="shared" si="5"/>
        <v>1</v>
      </c>
    </row>
  </sheetData>
  <sheetProtection selectLockedCells="1" selectUnlockedCells="1"/>
  <mergeCells count="35">
    <mergeCell ref="K9:K11"/>
    <mergeCell ref="L9:L11"/>
    <mergeCell ref="D8:F8"/>
    <mergeCell ref="J8:K8"/>
    <mergeCell ref="L8:M8"/>
    <mergeCell ref="P8:Q8"/>
    <mergeCell ref="N7:N11"/>
    <mergeCell ref="D9:D11"/>
    <mergeCell ref="E9:E11"/>
    <mergeCell ref="F9:F11"/>
    <mergeCell ref="G9:G11"/>
    <mergeCell ref="M9:M11"/>
    <mergeCell ref="O9:O11"/>
    <mergeCell ref="H9:H11"/>
    <mergeCell ref="J9:J11"/>
    <mergeCell ref="W7:W11"/>
    <mergeCell ref="X7:X11"/>
    <mergeCell ref="U8:U11"/>
    <mergeCell ref="P9:P11"/>
    <mergeCell ref="Q9:Q11"/>
    <mergeCell ref="R8:R11"/>
    <mergeCell ref="T8:T11"/>
    <mergeCell ref="O7:R7"/>
    <mergeCell ref="S7:S11"/>
    <mergeCell ref="T7:U7"/>
    <mergeCell ref="V7:V11"/>
    <mergeCell ref="A1:X1"/>
    <mergeCell ref="A2:X2"/>
    <mergeCell ref="A3:X3"/>
    <mergeCell ref="A7:A11"/>
    <mergeCell ref="B7:B11"/>
    <mergeCell ref="C7:C11"/>
    <mergeCell ref="D7:H7"/>
    <mergeCell ref="I7:I11"/>
    <mergeCell ref="J7:M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27"/>
  <sheetViews>
    <sheetView zoomScale="75" zoomScaleNormal="75" zoomScalePageLayoutView="0" workbookViewId="0" topLeftCell="A1">
      <selection activeCell="F12" sqref="F12"/>
    </sheetView>
  </sheetViews>
  <sheetFormatPr defaultColWidth="9.140625" defaultRowHeight="12.75" customHeight="1"/>
  <cols>
    <col min="1" max="1" width="5.28125" style="1" customWidth="1"/>
    <col min="2" max="2" width="26.421875" style="3" customWidth="1"/>
    <col min="3" max="3" width="10.8515625" style="1" customWidth="1"/>
    <col min="4" max="4" width="8.140625" style="3" customWidth="1"/>
    <col min="5" max="6" width="10.8515625" style="3" customWidth="1"/>
    <col min="7" max="7" width="12.8515625" style="3" customWidth="1"/>
    <col min="8" max="8" width="13.7109375" style="3" customWidth="1"/>
    <col min="9" max="9" width="10.8515625" style="3" customWidth="1"/>
    <col min="10" max="10" width="13.57421875" style="4" customWidth="1"/>
    <col min="11" max="11" width="12.8515625" style="4" customWidth="1"/>
    <col min="12" max="13" width="12.57421875" style="4" customWidth="1"/>
    <col min="14" max="14" width="10.8515625" style="5" customWidth="1"/>
    <col min="15" max="15" width="10.8515625" style="3" customWidth="1"/>
    <col min="16" max="16" width="10.8515625" style="1" customWidth="1"/>
    <col min="17" max="17" width="10.8515625" style="3" customWidth="1"/>
    <col min="18" max="18" width="13.7109375" style="1" customWidth="1"/>
    <col min="19" max="19" width="8.7109375" style="6" customWidth="1"/>
    <col min="20" max="20" width="10.8515625" style="3" customWidth="1"/>
    <col min="21" max="21" width="13.57421875" style="3" customWidth="1"/>
    <col min="22" max="23" width="10.8515625" style="3" customWidth="1"/>
    <col min="24" max="24" width="15.8515625" style="7" customWidth="1"/>
    <col min="25" max="31" width="7.140625" style="3" customWidth="1"/>
    <col min="32" max="16384" width="9.140625" style="3" customWidth="1"/>
  </cols>
  <sheetData>
    <row r="1" spans="1:24" ht="15.7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51" ht="15.7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0" ht="15.75" customHeight="1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4" ht="21.75" customHeight="1">
      <c r="A4"/>
      <c r="B4" s="8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1:24" ht="21.75" customHeight="1">
      <c r="A5" s="10"/>
      <c r="B5" s="11" t="s">
        <v>72</v>
      </c>
      <c r="C5" s="12"/>
      <c r="D5" s="13"/>
      <c r="E5" s="13"/>
      <c r="F5" s="13"/>
      <c r="G5" s="13"/>
      <c r="H5" s="13"/>
      <c r="I5" s="13"/>
      <c r="J5" s="14"/>
      <c r="K5" s="14"/>
      <c r="L5" s="14"/>
      <c r="M5" s="14"/>
      <c r="N5" s="15"/>
      <c r="O5" s="13"/>
      <c r="P5" s="12"/>
      <c r="Q5" s="13"/>
      <c r="R5" s="12"/>
      <c r="S5" s="16"/>
      <c r="T5" s="10"/>
      <c r="U5" s="10"/>
      <c r="V5" s="10"/>
      <c r="W5" s="10"/>
      <c r="X5" s="17"/>
    </row>
    <row r="6" spans="1:24" ht="21.75" customHeight="1">
      <c r="A6" s="10"/>
      <c r="B6" s="18"/>
      <c r="C6" s="12"/>
      <c r="D6" s="13"/>
      <c r="E6" s="13"/>
      <c r="F6" s="13"/>
      <c r="G6" s="13"/>
      <c r="H6" s="13"/>
      <c r="I6" s="13"/>
      <c r="J6" s="14"/>
      <c r="K6" s="14"/>
      <c r="L6" s="14"/>
      <c r="M6" s="14"/>
      <c r="N6" s="15"/>
      <c r="O6" s="13"/>
      <c r="P6" s="12"/>
      <c r="Q6" s="13"/>
      <c r="R6" s="12"/>
      <c r="S6" s="16"/>
      <c r="T6" s="10"/>
      <c r="U6" s="10"/>
      <c r="V6" s="10"/>
      <c r="W6" s="10"/>
      <c r="X6" s="17"/>
    </row>
    <row r="7" spans="1:24" s="21" customFormat="1" ht="43.5" customHeight="1">
      <c r="A7" s="77" t="s">
        <v>3</v>
      </c>
      <c r="B7" s="78" t="s">
        <v>4</v>
      </c>
      <c r="C7" s="79" t="s">
        <v>5</v>
      </c>
      <c r="D7" s="65" t="s">
        <v>6</v>
      </c>
      <c r="E7" s="65"/>
      <c r="F7" s="65"/>
      <c r="G7" s="65"/>
      <c r="H7" s="65"/>
      <c r="I7" s="65" t="s">
        <v>7</v>
      </c>
      <c r="J7" s="99" t="s">
        <v>8</v>
      </c>
      <c r="K7" s="99"/>
      <c r="L7" s="99"/>
      <c r="M7" s="99"/>
      <c r="N7" s="105" t="s">
        <v>7</v>
      </c>
      <c r="O7" s="80" t="s">
        <v>9</v>
      </c>
      <c r="P7" s="80"/>
      <c r="Q7" s="80"/>
      <c r="R7" s="80"/>
      <c r="S7" s="104" t="s">
        <v>7</v>
      </c>
      <c r="T7" s="74" t="s">
        <v>10</v>
      </c>
      <c r="U7" s="74"/>
      <c r="V7" s="102" t="s">
        <v>7</v>
      </c>
      <c r="W7" s="74" t="s">
        <v>11</v>
      </c>
      <c r="X7" s="103" t="s">
        <v>12</v>
      </c>
    </row>
    <row r="8" spans="1:24" s="21" customFormat="1" ht="27" customHeight="1">
      <c r="A8" s="77"/>
      <c r="B8" s="78"/>
      <c r="C8" s="79"/>
      <c r="D8" s="65" t="s">
        <v>13</v>
      </c>
      <c r="E8" s="65"/>
      <c r="F8" s="65"/>
      <c r="G8" s="23" t="s">
        <v>14</v>
      </c>
      <c r="H8" s="23" t="s">
        <v>15</v>
      </c>
      <c r="I8" s="65"/>
      <c r="J8" s="99" t="s">
        <v>16</v>
      </c>
      <c r="K8" s="99"/>
      <c r="L8" s="99" t="s">
        <v>17</v>
      </c>
      <c r="M8" s="99"/>
      <c r="N8" s="105"/>
      <c r="O8" s="20"/>
      <c r="P8" s="80" t="s">
        <v>18</v>
      </c>
      <c r="Q8" s="80"/>
      <c r="R8" s="80" t="s">
        <v>19</v>
      </c>
      <c r="S8" s="104"/>
      <c r="T8" s="74" t="s">
        <v>20</v>
      </c>
      <c r="U8" s="74" t="s">
        <v>21</v>
      </c>
      <c r="V8" s="102"/>
      <c r="W8" s="74"/>
      <c r="X8" s="103"/>
    </row>
    <row r="9" spans="1:24" s="21" customFormat="1" ht="15.75" customHeight="1">
      <c r="A9" s="77"/>
      <c r="B9" s="78"/>
      <c r="C9" s="79"/>
      <c r="D9" s="65" t="s">
        <v>23</v>
      </c>
      <c r="E9" s="65" t="s">
        <v>24</v>
      </c>
      <c r="F9" s="65" t="s">
        <v>25</v>
      </c>
      <c r="G9" s="65" t="s">
        <v>26</v>
      </c>
      <c r="H9" s="65" t="s">
        <v>27</v>
      </c>
      <c r="I9" s="65"/>
      <c r="J9" s="99" t="s">
        <v>28</v>
      </c>
      <c r="K9" s="99" t="s">
        <v>66</v>
      </c>
      <c r="L9" s="99" t="s">
        <v>30</v>
      </c>
      <c r="M9" s="99" t="s">
        <v>67</v>
      </c>
      <c r="N9" s="105"/>
      <c r="O9" s="80" t="s">
        <v>32</v>
      </c>
      <c r="P9" s="80" t="s">
        <v>33</v>
      </c>
      <c r="Q9" s="80" t="s">
        <v>34</v>
      </c>
      <c r="R9" s="80"/>
      <c r="S9" s="104"/>
      <c r="T9" s="74"/>
      <c r="U9" s="74"/>
      <c r="V9" s="102"/>
      <c r="W9" s="74"/>
      <c r="X9" s="103"/>
    </row>
    <row r="10" spans="1:24" s="21" customFormat="1" ht="41.25" customHeight="1">
      <c r="A10" s="77"/>
      <c r="B10" s="78"/>
      <c r="C10" s="79"/>
      <c r="D10" s="65"/>
      <c r="E10" s="65"/>
      <c r="F10" s="65"/>
      <c r="G10" s="65"/>
      <c r="H10" s="65"/>
      <c r="I10" s="65"/>
      <c r="J10" s="99"/>
      <c r="K10" s="99"/>
      <c r="L10" s="99"/>
      <c r="M10" s="99"/>
      <c r="N10" s="105"/>
      <c r="O10" s="80"/>
      <c r="P10" s="80"/>
      <c r="Q10" s="80"/>
      <c r="R10" s="80"/>
      <c r="S10" s="104"/>
      <c r="T10" s="74"/>
      <c r="U10" s="74"/>
      <c r="V10" s="102"/>
      <c r="W10" s="74"/>
      <c r="X10" s="103"/>
    </row>
    <row r="11" spans="1:24" s="21" customFormat="1" ht="40.5" customHeight="1">
      <c r="A11" s="77"/>
      <c r="B11" s="78"/>
      <c r="C11" s="79"/>
      <c r="D11" s="65"/>
      <c r="E11" s="65"/>
      <c r="F11" s="65"/>
      <c r="G11" s="65"/>
      <c r="H11" s="65"/>
      <c r="I11" s="65"/>
      <c r="J11" s="99"/>
      <c r="K11" s="99"/>
      <c r="L11" s="99"/>
      <c r="M11" s="99"/>
      <c r="N11" s="105"/>
      <c r="O11" s="80"/>
      <c r="P11" s="80"/>
      <c r="Q11" s="80"/>
      <c r="R11" s="80"/>
      <c r="S11" s="104"/>
      <c r="T11" s="74"/>
      <c r="U11" s="74"/>
      <c r="V11" s="102"/>
      <c r="W11" s="74"/>
      <c r="X11" s="103"/>
    </row>
    <row r="12" spans="1:24" ht="20.25" customHeight="1">
      <c r="A12" s="25" t="s">
        <v>35</v>
      </c>
      <c r="B12" s="26"/>
      <c r="C12" s="27"/>
      <c r="D12" s="28">
        <v>0</v>
      </c>
      <c r="E12" s="29">
        <f aca="true" t="shared" si="0" ref="E12:E27">D12*0.3</f>
        <v>0</v>
      </c>
      <c r="F12" s="30"/>
      <c r="G12" s="31"/>
      <c r="H12" s="32"/>
      <c r="I12" s="33">
        <f aca="true" t="shared" si="1" ref="I12:I27">E12+G12+H12</f>
        <v>0</v>
      </c>
      <c r="J12" s="34">
        <v>9</v>
      </c>
      <c r="K12" s="35">
        <f>J12*0.08</f>
        <v>0.72</v>
      </c>
      <c r="L12" s="35">
        <v>51</v>
      </c>
      <c r="M12" s="36">
        <f>(55+91+95+110+63+78+78+62+69+70+72+60+62+91+66+54+52+54+52+50+75+114+88+68+84+55+95+114+70+72+51+61+71+61+64+64+68+59+71+51+76+72+78+78+80+76+78*4+82)*0.08/120</f>
        <v>2.4626666666666663</v>
      </c>
      <c r="N12" s="37">
        <f aca="true" t="shared" si="2" ref="N12:N27">K12+M12</f>
        <v>3.182666666666666</v>
      </c>
      <c r="O12" s="31"/>
      <c r="P12" s="38"/>
      <c r="Q12" s="38"/>
      <c r="R12" s="38"/>
      <c r="S12" s="39"/>
      <c r="T12" s="32">
        <v>1</v>
      </c>
      <c r="U12" s="32"/>
      <c r="V12" s="40">
        <f>T12+U12</f>
        <v>1</v>
      </c>
      <c r="W12" s="41" t="s">
        <v>36</v>
      </c>
      <c r="X12" s="42">
        <f aca="true" t="shared" si="3" ref="X12:X27">I12+N12+S12+V12</f>
        <v>4.182666666666666</v>
      </c>
    </row>
    <row r="13" spans="1:24" ht="20.25" customHeight="1">
      <c r="A13" s="25" t="s">
        <v>37</v>
      </c>
      <c r="B13" s="26"/>
      <c r="C13" s="27"/>
      <c r="D13" s="28">
        <v>0</v>
      </c>
      <c r="E13" s="29">
        <f t="shared" si="0"/>
        <v>0</v>
      </c>
      <c r="F13" s="30"/>
      <c r="G13" s="31"/>
      <c r="H13" s="32"/>
      <c r="I13" s="33">
        <f t="shared" si="1"/>
        <v>0</v>
      </c>
      <c r="J13" s="34">
        <v>9</v>
      </c>
      <c r="K13" s="35">
        <f>J13*0.08</f>
        <v>0.72</v>
      </c>
      <c r="L13" s="35">
        <v>50</v>
      </c>
      <c r="M13" s="36">
        <f>(62+65+62+60+60+61+63+66+63+84+89+84+88+77+88+84+59+84+72+58+70+72+79+68+84+80+91+84+84+91+94+82+88+72+73+75+85+92+76+106+77+105+91+106+97+96+96+102+96+91+66)*0.08/120</f>
        <v>2.732</v>
      </c>
      <c r="N13" s="37">
        <f t="shared" si="2"/>
        <v>3.452</v>
      </c>
      <c r="O13" s="31"/>
      <c r="P13" s="38">
        <v>0.30000000000000004</v>
      </c>
      <c r="Q13" s="38"/>
      <c r="R13" s="38"/>
      <c r="S13" s="39">
        <f>O13+P13+Q13+R13</f>
        <v>0.30000000000000004</v>
      </c>
      <c r="T13" s="32">
        <v>1</v>
      </c>
      <c r="U13" s="32"/>
      <c r="V13" s="40">
        <f>T13+U13</f>
        <v>1</v>
      </c>
      <c r="W13" s="41" t="s">
        <v>36</v>
      </c>
      <c r="X13" s="42">
        <f t="shared" si="3"/>
        <v>4.752</v>
      </c>
    </row>
    <row r="14" spans="1:24" ht="21.75" customHeight="1">
      <c r="A14" s="25" t="s">
        <v>38</v>
      </c>
      <c r="B14" s="26"/>
      <c r="C14" s="27"/>
      <c r="D14" s="28">
        <v>0</v>
      </c>
      <c r="E14" s="29">
        <f t="shared" si="0"/>
        <v>0</v>
      </c>
      <c r="F14" s="30"/>
      <c r="G14" s="31"/>
      <c r="H14" s="32"/>
      <c r="I14" s="33">
        <f t="shared" si="1"/>
        <v>0</v>
      </c>
      <c r="J14" s="34">
        <v>27</v>
      </c>
      <c r="K14" s="35">
        <f>J14*0.08</f>
        <v>2.16</v>
      </c>
      <c r="L14" s="35">
        <v>21</v>
      </c>
      <c r="M14" s="36">
        <f>(114+90+66+66+24)*0.08/120</f>
        <v>0.24000000000000002</v>
      </c>
      <c r="N14" s="37">
        <f t="shared" si="2"/>
        <v>2.4000000000000004</v>
      </c>
      <c r="O14" s="31"/>
      <c r="P14" s="38">
        <v>0.6000000000000001</v>
      </c>
      <c r="Q14" s="38"/>
      <c r="R14" s="38"/>
      <c r="S14" s="39">
        <f>O14+P14+Q14+R14</f>
        <v>0.6000000000000001</v>
      </c>
      <c r="T14" s="32">
        <v>1</v>
      </c>
      <c r="U14" s="32"/>
      <c r="V14" s="40">
        <f>T14+U14</f>
        <v>1</v>
      </c>
      <c r="W14" s="41" t="s">
        <v>36</v>
      </c>
      <c r="X14" s="42">
        <f t="shared" si="3"/>
        <v>4</v>
      </c>
    </row>
    <row r="15" spans="1:24" ht="21.75" customHeight="1">
      <c r="A15" s="25" t="s">
        <v>40</v>
      </c>
      <c r="B15" s="26"/>
      <c r="C15" s="27"/>
      <c r="D15" s="28">
        <v>0</v>
      </c>
      <c r="E15" s="29">
        <f t="shared" si="0"/>
        <v>0</v>
      </c>
      <c r="F15" s="30"/>
      <c r="G15" s="31"/>
      <c r="H15" s="32"/>
      <c r="I15" s="33">
        <f t="shared" si="1"/>
        <v>0</v>
      </c>
      <c r="J15" s="34"/>
      <c r="K15" s="35"/>
      <c r="L15" s="35">
        <v>60</v>
      </c>
      <c r="M15" s="36">
        <f>(24+30+32+36+34+38+27+46+47+41+47+52+38+51+34+44+45+62+55+63+51+54+48+22+90+23+75+44+40+20+68+82+60+52+70+105+50+22+20+40+100+110+110+30+64+28+20+35+42+25+30+35+31+31+32+32+28+36+42)*0.08/120</f>
        <v>1.8286666666666667</v>
      </c>
      <c r="N15" s="37">
        <f t="shared" si="2"/>
        <v>1.8286666666666667</v>
      </c>
      <c r="O15" s="31"/>
      <c r="P15" s="38">
        <v>0.30000000000000004</v>
      </c>
      <c r="Q15" s="38"/>
      <c r="R15" s="38"/>
      <c r="S15" s="39">
        <f>O15+P15+Q15+R15</f>
        <v>0.30000000000000004</v>
      </c>
      <c r="T15" s="32">
        <v>1</v>
      </c>
      <c r="U15" s="32"/>
      <c r="V15" s="40">
        <f>T15+U15</f>
        <v>1</v>
      </c>
      <c r="W15" s="41" t="s">
        <v>39</v>
      </c>
      <c r="X15" s="42">
        <f t="shared" si="3"/>
        <v>3.1286666666666667</v>
      </c>
    </row>
    <row r="16" spans="1:24" ht="21.75" customHeight="1">
      <c r="A16" s="25" t="s">
        <v>41</v>
      </c>
      <c r="B16" s="26"/>
      <c r="C16" s="27"/>
      <c r="D16" s="28">
        <v>0</v>
      </c>
      <c r="E16" s="29">
        <f t="shared" si="0"/>
        <v>0</v>
      </c>
      <c r="F16" s="30"/>
      <c r="G16" s="31">
        <v>0.5</v>
      </c>
      <c r="H16" s="32"/>
      <c r="I16" s="33">
        <f t="shared" si="1"/>
        <v>0.5</v>
      </c>
      <c r="J16" s="34">
        <v>4</v>
      </c>
      <c r="K16" s="35">
        <f>J16*0.08</f>
        <v>0.32</v>
      </c>
      <c r="L16" s="35">
        <v>46</v>
      </c>
      <c r="M16" s="36">
        <f>(51+50+32+39+40+38+78+44+42+50+36+50+54+112+27.5+24+41+43+49+49+48+41+8+44+35+44+39+45+46+37+44+19+57+32+86+85+81+82+91+58+45+46+35+64+89+71)*0.08/120</f>
        <v>1.5476666666666667</v>
      </c>
      <c r="N16" s="37">
        <f t="shared" si="2"/>
        <v>1.8676666666666668</v>
      </c>
      <c r="O16" s="31"/>
      <c r="P16" s="38"/>
      <c r="Q16" s="38"/>
      <c r="R16" s="38"/>
      <c r="S16" s="39"/>
      <c r="T16" s="32">
        <v>1</v>
      </c>
      <c r="U16" s="32"/>
      <c r="V16" s="40">
        <f>T16+U16</f>
        <v>1</v>
      </c>
      <c r="W16" s="41" t="s">
        <v>36</v>
      </c>
      <c r="X16" s="42">
        <f t="shared" si="3"/>
        <v>3.3676666666666666</v>
      </c>
    </row>
    <row r="17" spans="1:24" ht="21.75" customHeight="1">
      <c r="A17" s="25" t="s">
        <v>42</v>
      </c>
      <c r="B17" s="26"/>
      <c r="C17" s="27"/>
      <c r="D17" s="28">
        <v>0</v>
      </c>
      <c r="E17" s="29">
        <f t="shared" si="0"/>
        <v>0</v>
      </c>
      <c r="F17" s="30"/>
      <c r="G17" s="31">
        <v>0.5</v>
      </c>
      <c r="H17" s="32"/>
      <c r="I17" s="33">
        <f t="shared" si="1"/>
        <v>0.5</v>
      </c>
      <c r="J17" s="34"/>
      <c r="K17" s="35"/>
      <c r="L17" s="35">
        <v>22</v>
      </c>
      <c r="M17" s="36">
        <f>(103+56+54+77+80+72+80+77+80+46+33+53+51+53+48+53+51+53+34+49+91+95)*0.08/120</f>
        <v>0.926</v>
      </c>
      <c r="N17" s="37">
        <f t="shared" si="2"/>
        <v>0.926</v>
      </c>
      <c r="O17" s="31"/>
      <c r="P17" s="38"/>
      <c r="Q17" s="38"/>
      <c r="R17" s="38"/>
      <c r="S17" s="39"/>
      <c r="T17" s="32">
        <v>1</v>
      </c>
      <c r="U17" s="32"/>
      <c r="V17" s="40" t="e">
        <f>'γενική κατάταξη'!#REF!+'γενική κατάταξη'!#REF!</f>
        <v>#REF!</v>
      </c>
      <c r="W17" s="41" t="s">
        <v>36</v>
      </c>
      <c r="X17" s="42" t="e">
        <f t="shared" si="3"/>
        <v>#REF!</v>
      </c>
    </row>
    <row r="18" spans="1:24" s="48" customFormat="1" ht="21.75" customHeight="1">
      <c r="A18" s="25" t="s">
        <v>43</v>
      </c>
      <c r="B18" s="43"/>
      <c r="C18" s="27"/>
      <c r="D18" s="28">
        <v>0</v>
      </c>
      <c r="E18" s="29">
        <f t="shared" si="0"/>
        <v>0</v>
      </c>
      <c r="F18" s="30"/>
      <c r="G18" s="31"/>
      <c r="H18" s="32"/>
      <c r="I18" s="33">
        <f t="shared" si="1"/>
        <v>0</v>
      </c>
      <c r="J18" s="34">
        <v>12</v>
      </c>
      <c r="K18" s="35">
        <f>J18*0.08</f>
        <v>0.96</v>
      </c>
      <c r="L18" s="35">
        <v>19</v>
      </c>
      <c r="M18" s="36">
        <f>(49+113+108+116+117+115+60+60+110+36+56+27+52+80+75+75+74+56)*0.08/120</f>
        <v>0.9193333333333334</v>
      </c>
      <c r="N18" s="37">
        <f t="shared" si="2"/>
        <v>1.8793333333333333</v>
      </c>
      <c r="O18" s="31"/>
      <c r="P18" s="38">
        <v>0.6000000000000001</v>
      </c>
      <c r="Q18" s="38"/>
      <c r="R18" s="38"/>
      <c r="S18" s="39">
        <f>O18+P18+Q18+R18</f>
        <v>0.6000000000000001</v>
      </c>
      <c r="T18" s="32"/>
      <c r="U18" s="32">
        <v>0.5</v>
      </c>
      <c r="V18" s="40">
        <f aca="true" t="shared" si="4" ref="V18:V27">T18+U18</f>
        <v>0.5</v>
      </c>
      <c r="W18" s="41" t="s">
        <v>36</v>
      </c>
      <c r="X18" s="42">
        <f t="shared" si="3"/>
        <v>2.9793333333333334</v>
      </c>
    </row>
    <row r="19" spans="1:24" s="48" customFormat="1" ht="21.75" customHeight="1">
      <c r="A19" s="25" t="s">
        <v>50</v>
      </c>
      <c r="B19" s="43"/>
      <c r="C19" s="44"/>
      <c r="D19" s="28">
        <v>0</v>
      </c>
      <c r="E19" s="29">
        <f t="shared" si="0"/>
        <v>0</v>
      </c>
      <c r="F19" s="45"/>
      <c r="G19" s="46"/>
      <c r="H19" s="47"/>
      <c r="I19" s="33">
        <f t="shared" si="1"/>
        <v>0</v>
      </c>
      <c r="J19" s="35">
        <v>6</v>
      </c>
      <c r="K19" s="35">
        <f>J19*0.08</f>
        <v>0.48</v>
      </c>
      <c r="L19" s="35">
        <v>43</v>
      </c>
      <c r="M19" s="36">
        <f>(78+36+42+72+75+57+69+69+81+18+103+117+112+108+90+108+108+103+55+115+75+30+60+64+87+72+21+45+52+44+13+48+48+44+48+52+24+30+60+60+60+60+30)*0.08/120</f>
        <v>1.8286666666666667</v>
      </c>
      <c r="N19" s="37">
        <f t="shared" si="2"/>
        <v>2.3086666666666664</v>
      </c>
      <c r="O19" s="46"/>
      <c r="P19" s="49"/>
      <c r="Q19" s="49"/>
      <c r="R19" s="49"/>
      <c r="S19" s="39"/>
      <c r="T19" s="47"/>
      <c r="U19" s="47">
        <v>0.5</v>
      </c>
      <c r="V19" s="40">
        <f t="shared" si="4"/>
        <v>0.5</v>
      </c>
      <c r="W19" s="50" t="s">
        <v>36</v>
      </c>
      <c r="X19" s="42">
        <f t="shared" si="3"/>
        <v>2.8086666666666664</v>
      </c>
    </row>
    <row r="20" spans="1:24" ht="21.75" customHeight="1">
      <c r="A20" s="25" t="s">
        <v>51</v>
      </c>
      <c r="B20" s="26"/>
      <c r="C20" s="27"/>
      <c r="D20" s="28">
        <v>0</v>
      </c>
      <c r="E20" s="29">
        <f t="shared" si="0"/>
        <v>0</v>
      </c>
      <c r="F20" s="30"/>
      <c r="G20" s="31"/>
      <c r="H20" s="32"/>
      <c r="I20" s="33">
        <f t="shared" si="1"/>
        <v>0</v>
      </c>
      <c r="J20" s="34">
        <v>5</v>
      </c>
      <c r="K20" s="35">
        <f>J20*0.08</f>
        <v>0.4</v>
      </c>
      <c r="L20" s="35">
        <v>45</v>
      </c>
      <c r="M20" s="36">
        <f>(16+26+20+30+39+36+36+38+18+84+96+111+108+114+96+111+54+2+95+80+92+80+60+42+70+79+76+72+73+67+7+41+33+40+23+4+45+110+116+117+114+56+28+82+100)*0.08/120</f>
        <v>1.8913333333333333</v>
      </c>
      <c r="N20" s="37">
        <f t="shared" si="2"/>
        <v>2.291333333333333</v>
      </c>
      <c r="O20" s="31"/>
      <c r="P20" s="38"/>
      <c r="Q20" s="38"/>
      <c r="R20" s="38"/>
      <c r="S20" s="39"/>
      <c r="T20" s="32"/>
      <c r="U20" s="32">
        <v>0.5</v>
      </c>
      <c r="V20" s="40">
        <f t="shared" si="4"/>
        <v>0.5</v>
      </c>
      <c r="W20" s="41" t="s">
        <v>36</v>
      </c>
      <c r="X20" s="42">
        <f t="shared" si="3"/>
        <v>2.791333333333333</v>
      </c>
    </row>
    <row r="21" spans="1:24" ht="21.75" customHeight="1">
      <c r="A21" s="25" t="s">
        <v>52</v>
      </c>
      <c r="B21" s="26"/>
      <c r="C21" s="27"/>
      <c r="D21" s="28">
        <v>0</v>
      </c>
      <c r="E21" s="29">
        <f t="shared" si="0"/>
        <v>0</v>
      </c>
      <c r="F21" s="30"/>
      <c r="G21" s="31"/>
      <c r="H21" s="32"/>
      <c r="I21" s="33">
        <f t="shared" si="1"/>
        <v>0</v>
      </c>
      <c r="J21" s="34">
        <v>1</v>
      </c>
      <c r="K21" s="35">
        <f>J21*0.08</f>
        <v>0.08</v>
      </c>
      <c r="L21" s="35">
        <v>52</v>
      </c>
      <c r="M21" s="36">
        <f>(8+16+12+45+48*3+42+39+54+45+48+51+48*2+38+45+42+48*4+23+24+48*2+42+54+48+45+51+33+57+51+45+49+54+104+54+11+88+83+86+88+96+96+96+104*2+100+108)*0.08/120</f>
        <v>1.8713333333333333</v>
      </c>
      <c r="N21" s="37">
        <f t="shared" si="2"/>
        <v>1.9513333333333334</v>
      </c>
      <c r="O21" s="31"/>
      <c r="P21" s="38">
        <v>0.30000000000000004</v>
      </c>
      <c r="Q21" s="38"/>
      <c r="R21" s="38"/>
      <c r="S21" s="39">
        <f>O21+P21+Q21+R21</f>
        <v>0.30000000000000004</v>
      </c>
      <c r="T21" s="32"/>
      <c r="U21" s="32">
        <v>0.5</v>
      </c>
      <c r="V21" s="40">
        <f t="shared" si="4"/>
        <v>0.5</v>
      </c>
      <c r="W21" s="41" t="s">
        <v>36</v>
      </c>
      <c r="X21" s="42">
        <f t="shared" si="3"/>
        <v>2.751333333333333</v>
      </c>
    </row>
    <row r="22" spans="1:24" ht="21.75" customHeight="1">
      <c r="A22" s="25" t="s">
        <v>53</v>
      </c>
      <c r="B22" s="43"/>
      <c r="C22" s="27"/>
      <c r="D22" s="28">
        <v>0</v>
      </c>
      <c r="E22" s="29">
        <f t="shared" si="0"/>
        <v>0</v>
      </c>
      <c r="F22" s="30"/>
      <c r="G22" s="31">
        <v>0.5</v>
      </c>
      <c r="H22" s="32"/>
      <c r="I22" s="33">
        <f t="shared" si="1"/>
        <v>0.5</v>
      </c>
      <c r="J22" s="34">
        <v>4</v>
      </c>
      <c r="K22" s="35">
        <f>J22*0.08</f>
        <v>0.32</v>
      </c>
      <c r="L22" s="35">
        <v>2</v>
      </c>
      <c r="M22" s="36">
        <f>(52+109)*0.08/120</f>
        <v>0.10733333333333334</v>
      </c>
      <c r="N22" s="37">
        <f t="shared" si="2"/>
        <v>0.42733333333333334</v>
      </c>
      <c r="O22" s="31"/>
      <c r="P22" s="38"/>
      <c r="Q22" s="38"/>
      <c r="R22" s="38"/>
      <c r="S22" s="39"/>
      <c r="T22" s="32"/>
      <c r="U22" s="32">
        <v>0.5</v>
      </c>
      <c r="V22" s="40">
        <f t="shared" si="4"/>
        <v>0.5</v>
      </c>
      <c r="W22" s="41" t="s">
        <v>36</v>
      </c>
      <c r="X22" s="42">
        <f t="shared" si="3"/>
        <v>1.4273333333333333</v>
      </c>
    </row>
    <row r="23" spans="1:24" ht="21.75" customHeight="1">
      <c r="A23" s="25" t="s">
        <v>54</v>
      </c>
      <c r="B23" s="26"/>
      <c r="C23" s="27"/>
      <c r="D23" s="28">
        <v>0</v>
      </c>
      <c r="E23" s="29">
        <f t="shared" si="0"/>
        <v>0</v>
      </c>
      <c r="F23" s="30"/>
      <c r="G23" s="31"/>
      <c r="H23" s="32"/>
      <c r="I23" s="33">
        <f t="shared" si="1"/>
        <v>0</v>
      </c>
      <c r="J23" s="34"/>
      <c r="K23" s="35"/>
      <c r="L23" s="35"/>
      <c r="M23" s="36"/>
      <c r="N23" s="37">
        <f t="shared" si="2"/>
        <v>0</v>
      </c>
      <c r="O23" s="31"/>
      <c r="P23" s="38"/>
      <c r="Q23" s="38"/>
      <c r="R23" s="38"/>
      <c r="S23" s="39"/>
      <c r="T23" s="32">
        <v>1</v>
      </c>
      <c r="U23" s="32"/>
      <c r="V23" s="40">
        <f t="shared" si="4"/>
        <v>1</v>
      </c>
      <c r="W23" s="41" t="s">
        <v>36</v>
      </c>
      <c r="X23" s="42">
        <f t="shared" si="3"/>
        <v>1</v>
      </c>
    </row>
    <row r="24" spans="1:24" ht="21.75" customHeight="1">
      <c r="A24" s="25" t="s">
        <v>57</v>
      </c>
      <c r="B24" s="26"/>
      <c r="C24" s="27"/>
      <c r="D24" s="28">
        <v>0</v>
      </c>
      <c r="E24" s="29">
        <f t="shared" si="0"/>
        <v>0</v>
      </c>
      <c r="F24" s="30"/>
      <c r="G24" s="31"/>
      <c r="H24" s="32"/>
      <c r="I24" s="33">
        <f t="shared" si="1"/>
        <v>0</v>
      </c>
      <c r="J24" s="34"/>
      <c r="K24" s="35"/>
      <c r="L24" s="35"/>
      <c r="M24" s="36"/>
      <c r="N24" s="37">
        <f t="shared" si="2"/>
        <v>0</v>
      </c>
      <c r="O24" s="31"/>
      <c r="P24" s="38"/>
      <c r="Q24" s="38"/>
      <c r="R24" s="38"/>
      <c r="S24" s="39"/>
      <c r="T24" s="32">
        <v>1</v>
      </c>
      <c r="U24" s="32"/>
      <c r="V24" s="40">
        <f t="shared" si="4"/>
        <v>1</v>
      </c>
      <c r="W24" s="41" t="s">
        <v>36</v>
      </c>
      <c r="X24" s="42">
        <f t="shared" si="3"/>
        <v>1</v>
      </c>
    </row>
    <row r="25" spans="1:24" ht="21.75" customHeight="1">
      <c r="A25" s="25" t="s">
        <v>58</v>
      </c>
      <c r="B25" s="26"/>
      <c r="C25" s="27"/>
      <c r="D25" s="28">
        <v>0</v>
      </c>
      <c r="E25" s="29">
        <f t="shared" si="0"/>
        <v>0</v>
      </c>
      <c r="F25" s="30"/>
      <c r="G25" s="31"/>
      <c r="H25" s="32"/>
      <c r="I25" s="33">
        <f t="shared" si="1"/>
        <v>0</v>
      </c>
      <c r="J25" s="34"/>
      <c r="K25" s="35"/>
      <c r="L25" s="35"/>
      <c r="M25" s="36"/>
      <c r="N25" s="37">
        <f t="shared" si="2"/>
        <v>0</v>
      </c>
      <c r="O25" s="31"/>
      <c r="P25" s="38"/>
      <c r="Q25" s="38"/>
      <c r="R25" s="38"/>
      <c r="S25" s="39"/>
      <c r="T25" s="32">
        <v>1</v>
      </c>
      <c r="U25" s="32"/>
      <c r="V25" s="40">
        <f t="shared" si="4"/>
        <v>1</v>
      </c>
      <c r="W25" s="41" t="s">
        <v>36</v>
      </c>
      <c r="X25" s="42">
        <f t="shared" si="3"/>
        <v>1</v>
      </c>
    </row>
    <row r="26" spans="1:24" ht="21.75" customHeight="1">
      <c r="A26" s="25" t="s">
        <v>59</v>
      </c>
      <c r="B26" s="26"/>
      <c r="C26" s="27"/>
      <c r="D26" s="28">
        <v>0</v>
      </c>
      <c r="E26" s="29">
        <f t="shared" si="0"/>
        <v>0</v>
      </c>
      <c r="F26" s="30"/>
      <c r="G26" s="31"/>
      <c r="H26" s="32"/>
      <c r="I26" s="33">
        <f t="shared" si="1"/>
        <v>0</v>
      </c>
      <c r="J26" s="34"/>
      <c r="K26" s="35"/>
      <c r="L26" s="35"/>
      <c r="M26" s="36"/>
      <c r="N26" s="37">
        <f t="shared" si="2"/>
        <v>0</v>
      </c>
      <c r="O26" s="31"/>
      <c r="P26" s="38"/>
      <c r="Q26" s="38"/>
      <c r="R26" s="38"/>
      <c r="S26" s="39"/>
      <c r="T26" s="32">
        <v>1</v>
      </c>
      <c r="U26" s="32"/>
      <c r="V26" s="40">
        <f t="shared" si="4"/>
        <v>1</v>
      </c>
      <c r="W26" s="41" t="s">
        <v>36</v>
      </c>
      <c r="X26" s="42">
        <f t="shared" si="3"/>
        <v>1</v>
      </c>
    </row>
    <row r="27" spans="1:24" ht="16.5" customHeight="1">
      <c r="A27" s="25" t="s">
        <v>60</v>
      </c>
      <c r="B27" s="26"/>
      <c r="C27" s="27"/>
      <c r="D27" s="28">
        <v>0</v>
      </c>
      <c r="E27" s="29">
        <f t="shared" si="0"/>
        <v>0</v>
      </c>
      <c r="F27" s="30"/>
      <c r="G27" s="31"/>
      <c r="H27" s="32"/>
      <c r="I27" s="33">
        <f t="shared" si="1"/>
        <v>0</v>
      </c>
      <c r="J27" s="34"/>
      <c r="K27" s="35"/>
      <c r="L27" s="35"/>
      <c r="M27" s="36"/>
      <c r="N27" s="37">
        <f t="shared" si="2"/>
        <v>0</v>
      </c>
      <c r="O27" s="31"/>
      <c r="P27" s="38"/>
      <c r="Q27" s="38"/>
      <c r="R27" s="38"/>
      <c r="S27" s="39"/>
      <c r="T27" s="32"/>
      <c r="U27" s="32">
        <v>0.5</v>
      </c>
      <c r="V27" s="40">
        <f t="shared" si="4"/>
        <v>0.5</v>
      </c>
      <c r="W27" s="41" t="s">
        <v>36</v>
      </c>
      <c r="X27" s="42">
        <f t="shared" si="3"/>
        <v>0.5</v>
      </c>
    </row>
  </sheetData>
  <sheetProtection selectLockedCells="1" selectUnlockedCells="1"/>
  <mergeCells count="35">
    <mergeCell ref="K9:K11"/>
    <mergeCell ref="L9:L11"/>
    <mergeCell ref="D8:F8"/>
    <mergeCell ref="J8:K8"/>
    <mergeCell ref="L8:M8"/>
    <mergeCell ref="P8:Q8"/>
    <mergeCell ref="N7:N11"/>
    <mergeCell ref="D9:D11"/>
    <mergeCell ref="E9:E11"/>
    <mergeCell ref="F9:F11"/>
    <mergeCell ref="G9:G11"/>
    <mergeCell ref="M9:M11"/>
    <mergeCell ref="O9:O11"/>
    <mergeCell ref="H9:H11"/>
    <mergeCell ref="J9:J11"/>
    <mergeCell ref="W7:W11"/>
    <mergeCell ref="X7:X11"/>
    <mergeCell ref="U8:U11"/>
    <mergeCell ref="P9:P11"/>
    <mergeCell ref="Q9:Q11"/>
    <mergeCell ref="R8:R11"/>
    <mergeCell ref="T8:T11"/>
    <mergeCell ref="O7:R7"/>
    <mergeCell ref="S7:S11"/>
    <mergeCell ref="T7:U7"/>
    <mergeCell ref="V7:V11"/>
    <mergeCell ref="A1:X1"/>
    <mergeCell ref="A2:X2"/>
    <mergeCell ref="A3:X3"/>
    <mergeCell ref="A7:A11"/>
    <mergeCell ref="B7:B11"/>
    <mergeCell ref="C7:C11"/>
    <mergeCell ref="D7:H7"/>
    <mergeCell ref="I7:I11"/>
    <mergeCell ref="J7:M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triandafillou</dc:creator>
  <cp:keywords/>
  <dc:description/>
  <cp:lastModifiedBy>prosopiko2</cp:lastModifiedBy>
  <cp:lastPrinted>2016-11-08T07:37:02Z</cp:lastPrinted>
  <dcterms:created xsi:type="dcterms:W3CDTF">2015-12-22T06:25:39Z</dcterms:created>
  <dcterms:modified xsi:type="dcterms:W3CDTF">2016-11-08T07:57:23Z</dcterms:modified>
  <cp:category/>
  <cp:version/>
  <cp:contentType/>
  <cp:contentStatus/>
</cp:coreProperties>
</file>